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Lists" sheetId="1" r:id="rId1"/>
    <sheet name="README" sheetId="2" r:id="rId2"/>
    <sheet name="Levers" sheetId="3" r:id="rId3"/>
    <sheet name="State_Data" sheetId="4" r:id="rId4"/>
    <sheet name="Presets" sheetId="5" r:id="rId5"/>
    <sheet name="Inputs" sheetId="6" r:id="rId6"/>
    <sheet name="Model" sheetId="7" r:id="rId7"/>
    <sheet name="Checks" sheetId="8" r:id="rId8"/>
    <sheet name="Source_Audit" sheetId="9" r:id="rId9"/>
  </sheets>
  <definedNames>
    <definedName name="AnnualUnitsRange">State_Data!$AG$2:$AG$11</definedName>
    <definedName name="BauStressDistRange">State_Data!$AA$2:$AA$11</definedName>
    <definedName name="BauStressGenRange">State_Data!$Y$2:$Y$11</definedName>
    <definedName name="BauStressTxRange">State_Data!$Z$2:$Z$11</definedName>
    <definedName name="BlendNoteRange">State_Data!$AJ$2:$AJ$11</definedName>
    <definedName name="CleanShare2025Range">State_Data!$AB$2:$AB$11</definedName>
    <definedName name="CleanShare2035Range">State_Data!$AC$2:$AC$11</definedName>
    <definedName name="Cost2025DistRange">State_Data!$O$2:$O$11</definedName>
    <definedName name="Cost2025GenRange">State_Data!$M$2:$M$11</definedName>
    <definedName name="Cost2025TotalRange">State_Data!$P$2:$P$11</definedName>
    <definedName name="Cost2025TxRange">State_Data!$N$2:$N$11</definedName>
    <definedName name="Cost2030DistRange">State_Data!$S$2:$S$11</definedName>
    <definedName name="Cost2030GenRange">State_Data!$Q$2:$Q$11</definedName>
    <definedName name="Cost2030TotalRange">State_Data!$T$2:$T$11</definedName>
    <definedName name="Cost2030TxRange">State_Data!$R$2:$R$11</definedName>
    <definedName name="Cost2035DistRange">State_Data!$W$2:$W$11</definedName>
    <definedName name="Cost2035GenRange">State_Data!$U$2:$U$11</definedName>
    <definedName name="Cost2035TotalRange">State_Data!$X$2:$X$11</definedName>
    <definedName name="Cost2035TxRange">State_Data!$V$2:$V$11</definedName>
    <definedName name="CountryList">Lists!$A$1:$A$2</definedName>
    <definedName name="Emissions2035Range">State_Data!$AE$2:$AE$11</definedName>
    <definedName name="EmissionsBaseRange">State_Data!$AD$2:$AD$11</definedName>
    <definedName name="HeadlineRange">State_Data!$AI$2:$AI$11</definedName>
    <definedName name="LeverCategoryRange">Levers!$B$2:$B$8</definedName>
    <definedName name="LeverKeyRange">Levers!$A$2:$A$8</definedName>
    <definedName name="LeverLabelRange">Levers!$D$2:$D$8</definedName>
    <definedName name="LeverSummaryRange">Levers!$E$2:$E$8</definedName>
    <definedName name="Model_AnnualSavings">Model!$B$86</definedName>
    <definedName name="Model_Baseline2030">Model!$H$18</definedName>
    <definedName name="Model_Baseline2035">Model!$J$18</definedName>
    <definedName name="Model_StartRate">Model!$E$18</definedName>
    <definedName name="Model_Strategy2030">Model!$B$83</definedName>
    <definedName name="Model_Strategy2035">Model!$K$18</definedName>
    <definedName name="Model_StrategyCleanShare">Model!$B$88</definedName>
    <definedName name="Model_StrategyEmissions">Model!$B$91</definedName>
    <definedName name="ModeList">Lists!$B$1:$B$2</definedName>
    <definedName name="PresetList_india">Lists!$D$1:$D$4</definedName>
    <definedName name="PresetList_us">Lists!$C$1:$C$4</definedName>
    <definedName name="PresetLookupKeyRange">Presets!$A$2:$A$43</definedName>
    <definedName name="PresetValueRange">Presets!$E$2:$E$43</definedName>
    <definedName name="PrimarySourcesRange">State_Data!$AK$2:$AK$11</definedName>
    <definedName name="RateUnitsRange">State_Data!$AF$2:$AF$11</definedName>
    <definedName name="ResidentialCustomersRange">State_Data!$G$2:$G$11</definedName>
    <definedName name="Sales2025Range">State_Data!$H$2:$H$11</definedName>
    <definedName name="Sales2030Range">State_Data!$I$2:$I$11</definedName>
    <definedName name="Sales2035Range">State_Data!$J$2:$J$11</definedName>
    <definedName name="SalesAnchorYearRange">State_Data!$AH$2:$AH$11</definedName>
    <definedName name="SalesStress2030Range">State_Data!$K$2:$K$11</definedName>
    <definedName name="SalesStress2035Range">State_Data!$L$2:$L$11</definedName>
    <definedName name="StateAbbrRange">State_Data!$E$2:$E$11</definedName>
    <definedName name="StateCountryKeyRange">State_Data!$B$2:$B$11</definedName>
    <definedName name="StateCountryLabelRange">State_Data!$C$2:$C$11</definedName>
    <definedName name="StateDefaultPresetRange">State_Data!$F$2:$F$11</definedName>
    <definedName name="StateKeyRange">State_Data!$A$2:$A$11</definedName>
    <definedName name="StateList_india">Lists!$F$1:$F$5</definedName>
    <definedName name="StateList_us">Lists!$E$1:$E$5</definedName>
    <definedName name="StateNameRange">State_Data!$D$2:$D$11</definedName>
  </definedNames>
  <calcPr calcId="124519" fullCalcOnLoad="1"/>
</workbook>
</file>

<file path=xl/comments1.xml><?xml version="1.0" encoding="utf-8"?>
<comments xmlns="http://schemas.openxmlformats.org/spreadsheetml/2006/main">
  <authors>
    <author/>
  </authors>
  <commentList>
    <comment ref="B6" authorId="0">
      <text>
        <r>
          <rPr>
            <sz val="8"/>
            <color indexed="81"/>
            <rFont val="Tahoma"/>
            <family val="2"/>
          </rPr>
          <t>Selection comes from the Inputs sheet.</t>
        </r>
      </text>
    </comment>
    <comment ref="B18" authorId="0">
      <text>
        <r>
          <rPr>
            <sz val="8"/>
            <color indexed="81"/>
            <rFont val="Tahoma"/>
            <family val="2"/>
          </rPr>
          <t>Status-quo 2035 rate path is modeled, not directly observed.</t>
        </r>
      </text>
    </comment>
    <comment ref="B86" authorId="0">
      <text>
        <r>
          <rPr>
            <sz val="8"/>
            <color indexed="81"/>
            <rFont val="Tahoma"/>
            <family val="2"/>
          </rPr>
          <t>Annual savings equals 2035 rate cut times 2035 stressed sales, with a country-specific divisor.</t>
        </r>
      </text>
    </comment>
  </commentList>
</comments>
</file>

<file path=xl/comments2.xml><?xml version="1.0" encoding="utf-8"?>
<comments xmlns="http://schemas.openxmlformats.org/spreadsheetml/2006/main">
  <authors>
    <author/>
  </authors>
  <commentList>
    <comment ref="A24" authorId="0">
      <text>
        <r>
          <rPr>
            <sz val="8"/>
            <color indexed="81"/>
            <rFont val="Tahoma"/>
            <family val="2"/>
          </rPr>
          <t>Main audit correction: India sales anchors are official 2022-23 CEA values, not observed 2025 sales.</t>
        </r>
      </text>
    </comment>
  </commentList>
</comments>
</file>

<file path=xl/sharedStrings.xml><?xml version="1.0" encoding="utf-8"?>
<sst xmlns="http://schemas.openxmlformats.org/spreadsheetml/2006/main" count="838" uniqueCount="446">
  <si>
    <t>United States</t>
  </si>
  <si>
    <t>India</t>
  </si>
  <si>
    <t>Preset</t>
  </si>
  <si>
    <t>Custom</t>
  </si>
  <si>
    <t>use_state_default</t>
  </si>
  <si>
    <t>balanced</t>
  </si>
  <si>
    <t>affordabilityFirst</t>
  </si>
  <si>
    <t>gridReuse</t>
  </si>
  <si>
    <t>manufacturingScale</t>
  </si>
  <si>
    <t>California</t>
  </si>
  <si>
    <t>Texas</t>
  </si>
  <si>
    <t>Florida</t>
  </si>
  <si>
    <t>New York</t>
  </si>
  <si>
    <t>Illinois</t>
  </si>
  <si>
    <t>Tamil Nadu</t>
  </si>
  <si>
    <t>Gujarat</t>
  </si>
  <si>
    <t>Maharashtra</t>
  </si>
  <si>
    <t>Karnataka</t>
  </si>
  <si>
    <t>Rajasthan</t>
  </si>
  <si>
    <t>Affordability Strategy Tool and Calculator</t>
  </si>
  <si>
    <t>What this workbook does</t>
  </si>
  <si>
    <t>This workbook mirrors the live affordability simulator and exposes the data, formulas, assumptions, and checks in a spreadsheet format. It is meant to be downloaded, inspected, modified, and audited.</t>
  </si>
  <si>
    <t>How to use it</t>
  </si>
  <si>
    <t>1. Go to the Inputs sheet.</t>
  </si>
  <si>
    <t>2. Choose a country and a state from the dropdowns.</t>
  </si>
  <si>
    <t>3. Leave Mode set to Preset to use the default state preset from the website, or switch to Custom and enter your own deployment percentages.</t>
  </si>
  <si>
    <t>4. Read the top-line outputs on Inputs and the step-by-step formulas on Model.</t>
  </si>
  <si>
    <t>5. Use Checks to compare the workbook against benchmark results from the live calculator.</t>
  </si>
  <si>
    <t>6. Use Source_Audit to see which values are direct observations, which are calibrated proxies, and which are modeled scenario outputs.</t>
  </si>
  <si>
    <t>Observed vs modeled</t>
  </si>
  <si>
    <t>U.S. 2025 rates and sales are official EIA observations. U.S. 2035 results are modeled from EIA AEO regional component rates plus explicit load-growth and wires-pressure assumptions. India uses official CEA sales and capacity data, but its 2025 state cost anchors are tariff proxies rather than a single observed statewide average retail-price series.</t>
  </si>
  <si>
    <t>Robustness notes</t>
  </si>
  <si>
    <t>The Model sheet uses formulas rather than hardcoded outputs. The Checks sheet stores benchmark results from the live calculator for all default modeled states. The workbook opens on United States / California with the state default preset so the first check is immediately visible.</t>
  </si>
  <si>
    <t>Prepared by</t>
  </si>
  <si>
    <t>Draft and conceptual. Prepared by Amol Phadke. Contact: aaphadke@berkeley.edu</t>
  </si>
  <si>
    <t>lever_key</t>
  </si>
  <si>
    <t>category</t>
  </si>
  <si>
    <t>short_label</t>
  </si>
  <si>
    <t>label</t>
  </si>
  <si>
    <t>summary</t>
  </si>
  <si>
    <t>timeline</t>
  </si>
  <si>
    <t>implementation_note</t>
  </si>
  <si>
    <t>U.S. sources</t>
  </si>
  <si>
    <t>India sources</t>
  </si>
  <si>
    <t>solarStorageFossil</t>
  </si>
  <si>
    <t>Generation</t>
  </si>
  <si>
    <t>Solar+storage</t>
  </si>
  <si>
    <t>Solar + storage instead of gas and coal</t>
  </si>
  <si>
    <t>Modeled as roughly 40% lower cost than new fossil additions for the part of the generation bill still exposed to fuel-based replacement or expansion.</t>
  </si>
  <si>
    <t>Medium</t>
  </si>
  <si>
    <t>procurement + siting</t>
  </si>
  <si>
    <t>DOE PV cost benchmarks | DOE solar PV benchmark and cost context | EIA Annual Energy Outlook 2026 Table 54</t>
  </si>
  <si>
    <t>CEA Tariff and Duty Book 2025 | CEA General Review 2024 | CEA Tamil Nadu resource adequacy report</t>
  </si>
  <si>
    <t>solarStreamlining</t>
  </si>
  <si>
    <t>Solar costs</t>
  </si>
  <si>
    <t>Lower solar cost through streamlining and competition</t>
  </si>
  <si>
    <t>Berkeley Lab found median German residential PV prices were about half U.S. levels, with most of the gap coming from soft costs such as customer acquisition, installation labor, permitting, and overhead.</t>
  </si>
  <si>
    <t>High</t>
  </si>
  <si>
    <t>soft-cost reform</t>
  </si>
  <si>
    <t>Berkeley Lab U.S.-Germany PV price study | SolarAPP+ and automated permitting | DOE solar PV benchmark and cost context</t>
  </si>
  <si>
    <t>CEA Tariff and Duty Book 2025 | CEA Installed Capacity Report | CEA integrated resource planning division</t>
  </si>
  <si>
    <t>vppDrPeakers</t>
  </si>
  <si>
    <t>VPP / DR</t>
  </si>
  <si>
    <t>VPPs or demand response instead of peakers</t>
  </si>
  <si>
    <t>Treats VPPs and demand response as lower-cost peak capacity that can cut peak-serving generation cost by up to 50% for the affected slice of the system.</t>
  </si>
  <si>
    <t>Very high</t>
  </si>
  <si>
    <t>fastest to scale</t>
  </si>
  <si>
    <t>DOE VPP project overview | Grid Growth, Utilization, and Affordability: A Playbook for States</t>
  </si>
  <si>
    <t>CEA Tariff and Duty Book 2025 | CEA General Review 2024</t>
  </si>
  <si>
    <t>surplusInterconnection</t>
  </si>
  <si>
    <t>Transmission</t>
  </si>
  <si>
    <t>Surplus IC</t>
  </si>
  <si>
    <t>Surplus interconnection at underused sites</t>
  </si>
  <si>
    <t>Adds solar and storage at existing underused interconnection so states can bring on cheap clean energy with less new transmission buildout and less queue friction.</t>
  </si>
  <si>
    <t>existing interconnection</t>
  </si>
  <si>
    <t>Surplus interconnection working paper | Grid Growth, Utilization, and Affordability: A Playbook for States</t>
  </si>
  <si>
    <t>CEA Installed Capacity Report | Surplus interconnection working paper</t>
  </si>
  <si>
    <t>reconductoring</t>
  </si>
  <si>
    <t>Reconductoring</t>
  </si>
  <si>
    <t>Reconductoring to double transfer capacity</t>
  </si>
  <si>
    <t>Uses the WP343 framing: advanced conductors can roughly double transfer capability in existing rights-of-way at around one-third the cost of new transmission.</t>
  </si>
  <si>
    <t>existing corridors</t>
  </si>
  <si>
    <t>WP343 reconductoring paper</t>
  </si>
  <si>
    <t>WP343 reconductoring paper | CEA General Review 2024</t>
  </si>
  <si>
    <t>txStorage</t>
  </si>
  <si>
    <t>Tx storage</t>
  </si>
  <si>
    <t>Strategic placement of storage to improve transmission utilization</t>
  </si>
  <si>
    <t>Uses storage to shift energy into available headroom hours before building more wires, lowering congestion and improving use of the transmission system.</t>
  </si>
  <si>
    <t>Medium-high</t>
  </si>
  <si>
    <t>modular siting</t>
  </si>
  <si>
    <t>Grid Growth, Utilization, and Affordability: A Playbook for States | WP343 reconductoring paper</t>
  </si>
  <si>
    <t>CEA Installed Capacity Report | WP343 reconductoring paper</t>
  </si>
  <si>
    <t>distributionUtilization</t>
  </si>
  <si>
    <t>Distribution</t>
  </si>
  <si>
    <t>Off-peak load</t>
  </si>
  <si>
    <t>Improve distribution utilization with off-peak EVs and flexible load</t>
  </si>
  <si>
    <t>Treats large new loads such as EVs as an affordability opportunity when they are added off-peak, because higher utilization can defer feeder and substation rebuilds.</t>
  </si>
  <si>
    <t>load-shape quickly</t>
  </si>
  <si>
    <t>Grid Growth, Utilization, and Affordability: A Playbook for States | LBNL DEPTH retail price tool | LBNL retail price trends update</t>
  </si>
  <si>
    <t>state_key</t>
  </si>
  <si>
    <t>country_key</t>
  </si>
  <si>
    <t>country_label</t>
  </si>
  <si>
    <t>state_name</t>
  </si>
  <si>
    <t>abbr</t>
  </si>
  <si>
    <t>default_preset</t>
  </si>
  <si>
    <t>residentialCustomersM</t>
  </si>
  <si>
    <t>sales2025TWh</t>
  </si>
  <si>
    <t>sales2030TWh</t>
  </si>
  <si>
    <t>sales2035TWh</t>
  </si>
  <si>
    <t>salesStress2030TWh</t>
  </si>
  <si>
    <t>salesStress2035TWh</t>
  </si>
  <si>
    <t>cost2025_gen</t>
  </si>
  <si>
    <t>cost2025_tx</t>
  </si>
  <si>
    <t>cost2025_dist</t>
  </si>
  <si>
    <t>cost2025_total</t>
  </si>
  <si>
    <t>cost2030_gen</t>
  </si>
  <si>
    <t>cost2030_tx</t>
  </si>
  <si>
    <t>cost2030_dist</t>
  </si>
  <si>
    <t>cost2030_total</t>
  </si>
  <si>
    <t>cost2035_gen</t>
  </si>
  <si>
    <t>cost2035_tx</t>
  </si>
  <si>
    <t>cost2035_dist</t>
  </si>
  <si>
    <t>cost2035_total</t>
  </si>
  <si>
    <t>bauStress_gen</t>
  </si>
  <si>
    <t>bauStress_tx</t>
  </si>
  <si>
    <t>bauStress_dist</t>
  </si>
  <si>
    <t>cleanShare2025</t>
  </si>
  <si>
    <t>cleanShare2035</t>
  </si>
  <si>
    <t>emissionsBaseMt</t>
  </si>
  <si>
    <t>emissions2035Mt</t>
  </si>
  <si>
    <t>rate_units</t>
  </si>
  <si>
    <t>annual_savings_units</t>
  </si>
  <si>
    <t>sales_anchor_year</t>
  </si>
  <si>
    <t>headline</t>
  </si>
  <si>
    <t>blendNote</t>
  </si>
  <si>
    <t>primary_sources</t>
  </si>
  <si>
    <t>california</t>
  </si>
  <si>
    <t>us</t>
  </si>
  <si>
    <t>CA</t>
  </si>
  <si>
    <t>c/kWh</t>
  </si>
  <si>
    <t>$B/yr</t>
  </si>
  <si>
    <t>2025 observed</t>
  </si>
  <si>
    <t>High-rate state where distribution cost and grid reuse matter as much as cleaner supply.</t>
  </si>
  <si>
    <t>California North and California South from EIA AEO Table 54 are blended using 2025 regional sales weights, then scaled to California's actual 2025 state retail price.</t>
  </si>
  <si>
    <t>EIA state sales, revenue, and price data | EIA Annual Energy Outlook 2026 Table 54 | EIA annual state power-sector emissions</t>
  </si>
  <si>
    <t>texas</t>
  </si>
  <si>
    <t>TX</t>
  </si>
  <si>
    <t>Fast-growth state where surplus interconnection, reconductoring, and solar-plus-storage drive the largest savings.</t>
  </si>
  <si>
    <t>Texas uses the Texas Reliability Entity region from EIA AEO Table 54, scaled to Texas' actual 2025 state retail price from EIA sales and revenue data.</t>
  </si>
  <si>
    <t>florida</t>
  </si>
  <si>
    <t>FL</t>
  </si>
  <si>
    <t>Gas-heavy state where solar, VPPs, and peak management can trim a very large generation bill.</t>
  </si>
  <si>
    <t>Florida uses the Florida Reliability Coordinating Council region from EIA AEO Table 54, scaled to Florida's actual 2025 state retail price.</t>
  </si>
  <si>
    <t>newYork</t>
  </si>
  <si>
    <t>NY</t>
  </si>
  <si>
    <t>High-rate state where transmission reuse and better distribution utilization protect affordability during electrification.</t>
  </si>
  <si>
    <t>New York City and Upstate New York AEO regions are blended using 2025 regional sales weights, then scaled to New York's actual 2025 state retail price.</t>
  </si>
  <si>
    <t>illinois</t>
  </si>
  <si>
    <t>IL</t>
  </si>
  <si>
    <t>Lower-carbon state where affordability still improves when transmission and distribution spending are kept disciplined.</t>
  </si>
  <si>
    <t>Illinois uses the PJM / Commonwealth Edison region from EIA AEO Table 54, scaled to Illinois' actual 2025 state retail price.</t>
  </si>
  <si>
    <t>tamilNadu</t>
  </si>
  <si>
    <t>india</t>
  </si>
  <si>
    <t>TN</t>
  </si>
  <si>
    <t>Rs/kWh</t>
  </si>
  <si>
    <t>Rs lakh cr/yr</t>
  </si>
  <si>
    <t>2022-23 official volume + 2025 tariff proxy</t>
  </si>
  <si>
    <t>Industrial and wind-heavy state where storage, demand response, and corridor reuse can hold costs down as load grows.</t>
  </si>
  <si>
    <t>The 2025 Rs/kWh anchor is a tariff proxy calibrated to the CEA tariff book and paired with the latest available official CEA state sales volumes from General Review 2024, which contains 2022-23 data. Peak demand, installed-capacity mix, and the non-fossil baseline come from the CEA General Review and installed-capacity reports.</t>
  </si>
  <si>
    <t>CEA Tariff and Duty Book 2025 | CEA General Review 2024 | CEA Installed Capacity Report | CEA Tamil Nadu resource adequacy report</t>
  </si>
  <si>
    <t>gujarat</t>
  </si>
  <si>
    <t>GJ</t>
  </si>
  <si>
    <t>Fast-growing industrial state where solar, storage, and grid reuse can contain the cost of manufacturing-led load growth.</t>
  </si>
  <si>
    <t>The 2025 state rate proxy is anchored to the CEA tariff book and paired with the latest available official CEA state sales volumes from General Review 2024, which contains 2022-23 data. Peak demand and capacity context come from the CEA General Review and installed-capacity series.</t>
  </si>
  <si>
    <t>CEA Tariff and Duty Book 2025 | CEA General Review 2024 | CEA Installed Capacity Report | CEA integrated resource planning division</t>
  </si>
  <si>
    <t>maharashtra</t>
  </si>
  <si>
    <t>MH</t>
  </si>
  <si>
    <t>Large demand center where urban distribution pressure, flexible load, and storage placement dominate the affordability story.</t>
  </si>
  <si>
    <t>The 2025 state cost proxy combines the CEA tariff book with the latest available official CEA state sales volumes from General Review 2024, which contains 2022-23 data. Peak, installed-capacity mix, and planning context are grounded in the CEA General Review, installed-capacity data, and the state resource adequacy study.</t>
  </si>
  <si>
    <t>CEA Tariff and Duty Book 2025 | CEA General Review 2024 | CEA Installed Capacity Report | CEA Maharashtra resource adequacy report</t>
  </si>
  <si>
    <t>karnataka</t>
  </si>
  <si>
    <t>KA</t>
  </si>
  <si>
    <t>Renewables-rich state where flexible tariffs, storage, and off-peak utilization can keep demand growth cheap.</t>
  </si>
  <si>
    <t>The state rate proxy is tied to the CEA tariff book and paired with the latest available official CEA state sales volumes from General Review 2024, which contains 2022-23 data. Energy scale, peak demand, and capacity mix are drawn from the CEA General Review and installed-capacity tables.</t>
  </si>
  <si>
    <t>rajasthan</t>
  </si>
  <si>
    <t>RJ</t>
  </si>
  <si>
    <t>Solar-led state where reconductoring, storage, and substation reuse can keep large clean additions affordable.</t>
  </si>
  <si>
    <t>The 2025 cost proxy is calibrated from the CEA tariff book and paired with the latest available official CEA state sales volumes from General Review 2024, which contains 2022-23 data. Peak demand and the non-fossil baseline use the CEA General Review and installed-capacity report.</t>
  </si>
  <si>
    <t>preset_lookup_key</t>
  </si>
  <si>
    <t>preset_key</t>
  </si>
  <si>
    <t>value_pct</t>
  </si>
  <si>
    <t>preset_label</t>
  </si>
  <si>
    <t>description</t>
  </si>
  <si>
    <t>us|balanced|solarStorageFossil</t>
  </si>
  <si>
    <t>Balanced build</t>
  </si>
  <si>
    <t>Move all seven levers together without assuming perfect execution.</t>
  </si>
  <si>
    <t>us|balanced|solarStreamlining</t>
  </si>
  <si>
    <t>us|balanced|vppDrPeakers</t>
  </si>
  <si>
    <t>us|balanced|surplusInterconnection</t>
  </si>
  <si>
    <t>us|balanced|reconductoring</t>
  </si>
  <si>
    <t>us|balanced|txStorage</t>
  </si>
  <si>
    <t>us|balanced|distributionUtilization</t>
  </si>
  <si>
    <t>us|affordabilityFirst|solarStorageFossil</t>
  </si>
  <si>
    <t>Affordability first</t>
  </si>
  <si>
    <t>Push harder on cheap clean generation, soft costs, VPPs, and smarter load shaping.</t>
  </si>
  <si>
    <t>us|affordabilityFirst|solarStreamlining</t>
  </si>
  <si>
    <t>us|affordabilityFirst|vppDrPeakers</t>
  </si>
  <si>
    <t>us|affordabilityFirst|surplusInterconnection</t>
  </si>
  <si>
    <t>us|affordabilityFirst|reconductoring</t>
  </si>
  <si>
    <t>us|affordabilityFirst|txStorage</t>
  </si>
  <si>
    <t>us|affordabilityFirst|distributionUtilization</t>
  </si>
  <si>
    <t>us|gridReuse|solarStorageFossil</t>
  </si>
  <si>
    <t>Grid reuse</t>
  </si>
  <si>
    <t>Lean into surplus interconnection, reconductoring, storage, and local utilization before building more wires.</t>
  </si>
  <si>
    <t>us|gridReuse|solarStreamlining</t>
  </si>
  <si>
    <t>us|gridReuse|vppDrPeakers</t>
  </si>
  <si>
    <t>us|gridReuse|surplusInterconnection</t>
  </si>
  <si>
    <t>us|gridReuse|reconductoring</t>
  </si>
  <si>
    <t>us|gridReuse|txStorage</t>
  </si>
  <si>
    <t>us|gridReuse|distributionUtilization</t>
  </si>
  <si>
    <t>india|balanced|solarStorageFossil</t>
  </si>
  <si>
    <t>india|balanced|solarStreamlining</t>
  </si>
  <si>
    <t>india|balanced|vppDrPeakers</t>
  </si>
  <si>
    <t>india|balanced|surplusInterconnection</t>
  </si>
  <si>
    <t>india|balanced|reconductoring</t>
  </si>
  <si>
    <t>india|balanced|txStorage</t>
  </si>
  <si>
    <t>india|balanced|distributionUtilization</t>
  </si>
  <si>
    <t>india|manufacturingScale|solarStorageFossil</t>
  </si>
  <si>
    <t>Manufacturing scale</t>
  </si>
  <si>
    <t>Push harder on cheap clean supply and faster grid reuse for fast-growing industrial states.</t>
  </si>
  <si>
    <t>india|manufacturingScale|solarStreamlining</t>
  </si>
  <si>
    <t>india|manufacturingScale|vppDrPeakers</t>
  </si>
  <si>
    <t>india|manufacturingScale|surplusInterconnection</t>
  </si>
  <si>
    <t>india|manufacturingScale|reconductoring</t>
  </si>
  <si>
    <t>india|manufacturingScale|txStorage</t>
  </si>
  <si>
    <t>india|manufacturingScale|distributionUtilization</t>
  </si>
  <si>
    <t>india|gridReuse|solarStorageFossil</t>
  </si>
  <si>
    <t>Lean into corridor upgrades, storage, off-peak demand, and substation reuse before major new wires.</t>
  </si>
  <si>
    <t>india|gridReuse|solarStreamlining</t>
  </si>
  <si>
    <t>india|gridReuse|vppDrPeakers</t>
  </si>
  <si>
    <t>india|gridReuse|surplusInterconnection</t>
  </si>
  <si>
    <t>india|gridReuse|reconductoring</t>
  </si>
  <si>
    <t>india|gridReuse|txStorage</t>
  </si>
  <si>
    <t>india|gridReuse|distributionUtilization</t>
  </si>
  <si>
    <t>Downloadable Excel calculator</t>
  </si>
  <si>
    <t>Choose a country and state, then either keep the default site preset or switch to Custom and edit the lever percentages. The Model sheet shows the exact formulas.</t>
  </si>
  <si>
    <t>Country</t>
  </si>
  <si>
    <t>State</t>
  </si>
  <si>
    <t>Mode</t>
  </si>
  <si>
    <t>Helper country key</t>
  </si>
  <si>
    <t>Helper state key</t>
  </si>
  <si>
    <t>Active preset</t>
  </si>
  <si>
    <t>Current state headline</t>
  </si>
  <si>
    <t>strategy</t>
  </si>
  <si>
    <t>manual input %</t>
  </si>
  <si>
    <t>active input %</t>
  </si>
  <si>
    <t>deployment description</t>
  </si>
  <si>
    <t>implementation note</t>
  </si>
  <si>
    <t>Medium | procurement + siting</t>
  </si>
  <si>
    <t>High | soft-cost reform</t>
  </si>
  <si>
    <t>Very high | fastest to scale</t>
  </si>
  <si>
    <t>Very high | existing interconnection</t>
  </si>
  <si>
    <t>High | existing corridors</t>
  </si>
  <si>
    <t>Medium-high | modular siting</t>
  </si>
  <si>
    <t>High | load-shape quickly</t>
  </si>
  <si>
    <t>Current outputs</t>
  </si>
  <si>
    <t>2025 starting point</t>
  </si>
  <si>
    <t>2035 status quo</t>
  </si>
  <si>
    <t>2035 strategy</t>
  </si>
  <si>
    <t>2035 annual savings</t>
  </si>
  <si>
    <t>2035 clean share</t>
  </si>
  <si>
    <t>2035 strategy emissions</t>
  </si>
  <si>
    <t>Transparent model sheet</t>
  </si>
  <si>
    <t>The workbook formulas below mirror the live calculator logic: stressed 2035 status quo, exposure metrics, lever potentials, component caps, strategy cost, annual savings, clean share, and emissions.</t>
  </si>
  <si>
    <t>Selection summary</t>
  </si>
  <si>
    <t>State key</t>
  </si>
  <si>
    <t>Rate units</t>
  </si>
  <si>
    <t>Annual savings units</t>
  </si>
  <si>
    <t>Selected state data</t>
  </si>
  <si>
    <t>Country label</t>
  </si>
  <si>
    <t>Default preset</t>
  </si>
  <si>
    <t>Sales anchor year</t>
  </si>
  <si>
    <t>Residential customers (M)</t>
  </si>
  <si>
    <t>Sales 2025 (TWh)</t>
  </si>
  <si>
    <t>Sales 2030 official (TWh)</t>
  </si>
  <si>
    <t>Sales 2035 official (TWh)</t>
  </si>
  <si>
    <t>Sales stress 2030 (TWh)</t>
  </si>
  <si>
    <t>Sales stress 2035 (TWh)</t>
  </si>
  <si>
    <t>Cost 2025 gen</t>
  </si>
  <si>
    <t>Cost 2025 tx</t>
  </si>
  <si>
    <t>Cost 2025 dist</t>
  </si>
  <si>
    <t>Cost 2025 total</t>
  </si>
  <si>
    <t>Cost 2030 gen</t>
  </si>
  <si>
    <t>Cost 2030 tx</t>
  </si>
  <si>
    <t>Cost 2030 dist</t>
  </si>
  <si>
    <t>Cost 2030 total</t>
  </si>
  <si>
    <t>Cost 2035 gen</t>
  </si>
  <si>
    <t>Cost 2035 tx</t>
  </si>
  <si>
    <t>Cost 2035 dist</t>
  </si>
  <si>
    <t>Cost 2035 total</t>
  </si>
  <si>
    <t>BAU stress gen</t>
  </si>
  <si>
    <t>BAU stress tx</t>
  </si>
  <si>
    <t>BAU stress dist</t>
  </si>
  <si>
    <t>Clean share 2025</t>
  </si>
  <si>
    <t>Clean share 2035 status quo</t>
  </si>
  <si>
    <t>Base emissions Mt</t>
  </si>
  <si>
    <t>2035 status-quo emissions Mt</t>
  </si>
  <si>
    <t>Headline</t>
  </si>
  <si>
    <t>Blend note</t>
  </si>
  <si>
    <t>Primary sources</t>
  </si>
  <si>
    <t>Rate component path</t>
  </si>
  <si>
    <t>2025 anchor</t>
  </si>
  <si>
    <t>2030 official</t>
  </si>
  <si>
    <t>2035 official</t>
  </si>
  <si>
    <t>2030 status quo</t>
  </si>
  <si>
    <t>2035 raw stress</t>
  </si>
  <si>
    <t>Total</t>
  </si>
  <si>
    <t>Sales TWh</t>
  </si>
  <si>
    <t>Support calculations</t>
  </si>
  <si>
    <t>Stress sales 2030</t>
  </si>
  <si>
    <t>Stress sales 2035</t>
  </si>
  <si>
    <t>Demand premium 2030</t>
  </si>
  <si>
    <t>Demand premium 2035</t>
  </si>
  <si>
    <t>Clean learning credit 2035</t>
  </si>
  <si>
    <t>Target step-down 2035</t>
  </si>
  <si>
    <t>Max 2035 total allowed</t>
  </si>
  <si>
    <t>2035 reduction needed</t>
  </si>
  <si>
    <t>Exposure metrics</t>
  </si>
  <si>
    <t>Load growth</t>
  </si>
  <si>
    <t>Load growth norm</t>
  </si>
  <si>
    <t>Fossil exposure</t>
  </si>
  <si>
    <t>Transmission growth proxy</t>
  </si>
  <si>
    <t>Distribution growth proxy</t>
  </si>
  <si>
    <t>Peak stress</t>
  </si>
  <si>
    <t>Transmission pressure</t>
  </si>
  <si>
    <t>Distribution flexibility</t>
  </si>
  <si>
    <t>adoption</t>
  </si>
  <si>
    <t>potential gen</t>
  </si>
  <si>
    <t>potential tx</t>
  </si>
  <si>
    <t>potential dist</t>
  </si>
  <si>
    <t>clean lift</t>
  </si>
  <si>
    <t>share gen</t>
  </si>
  <si>
    <t>share tx</t>
  </si>
  <si>
    <t>share dist</t>
  </si>
  <si>
    <t>2030 gen save</t>
  </si>
  <si>
    <t>2030 tx save</t>
  </si>
  <si>
    <t>2030 dist save</t>
  </si>
  <si>
    <t>2030 rate save</t>
  </si>
  <si>
    <t>2035 gen save</t>
  </si>
  <si>
    <t>2035 tx save</t>
  </si>
  <si>
    <t>2035 dist save</t>
  </si>
  <si>
    <t>2035 rate save</t>
  </si>
  <si>
    <t>2035 annual save</t>
  </si>
  <si>
    <t>Total share</t>
  </si>
  <si>
    <t>Component cap</t>
  </si>
  <si>
    <t>Applied scale</t>
  </si>
  <si>
    <t>Summary outputs</t>
  </si>
  <si>
    <t>2030 strategy total</t>
  </si>
  <si>
    <t>2035 rate cut</t>
  </si>
  <si>
    <t>Annual savings divisor</t>
  </si>
  <si>
    <t>Total clean lift</t>
  </si>
  <si>
    <t>2035 strategy clean share</t>
  </si>
  <si>
    <t>Status fossil share</t>
  </si>
  <si>
    <t>Strategy fossil share</t>
  </si>
  <si>
    <t>Transparency note</t>
  </si>
  <si>
    <t>U.S. 2025 anchors are direct EIA observations. India sales anchors are official CEA 2022-23 state volumes paired with 2025 tariff proxies. The 2035 path is a modeled stress case. See Source_Audit and Checks.</t>
  </si>
  <si>
    <t>Robustness checks and benchmark scenarios</t>
  </si>
  <si>
    <t>The live comparison block below is valid when Inputs is set to Preset mode and the selected state uses one of the default benchmark presets. The benchmark table stores the expected outputs from the live web model for all default modeled states.</t>
  </si>
  <si>
    <t>Current comparison</t>
  </si>
  <si>
    <t>Current benchmark key</t>
  </si>
  <si>
    <t>Benchmark available?</t>
  </si>
  <si>
    <t>Metric</t>
  </si>
  <si>
    <t>Workbook result</t>
  </si>
  <si>
    <t>Benchmark result</t>
  </si>
  <si>
    <t>Delta</t>
  </si>
  <si>
    <t>Status</t>
  </si>
  <si>
    <t>benchmark_key</t>
  </si>
  <si>
    <t>baseline2035</t>
  </si>
  <si>
    <t>strategy2035</t>
  </si>
  <si>
    <t>annualSavings</t>
  </si>
  <si>
    <t>cleanShare</t>
  </si>
  <si>
    <t>strategyEmissions</t>
  </si>
  <si>
    <t>california|affordabilityFirst</t>
  </si>
  <si>
    <t>texas|gridReuse</t>
  </si>
  <si>
    <t>florida|affordabilityFirst</t>
  </si>
  <si>
    <t>newYork|gridReuse</t>
  </si>
  <si>
    <t>illinois|balanced</t>
  </si>
  <si>
    <t>tamilNadu|gridReuse</t>
  </si>
  <si>
    <t>gujarat|manufacturingScale</t>
  </si>
  <si>
    <t>maharashtra|balanced</t>
  </si>
  <si>
    <t>karnataka|gridReuse</t>
  </si>
  <si>
    <t>rajasthan|manufacturingScale</t>
  </si>
  <si>
    <t>Source audit</t>
  </si>
  <si>
    <t>This sheet documents which anchors were checked directly against official public sources and which site-language corrections were made during the audit.</t>
  </si>
  <si>
    <t>U.S. anchor cross-check</t>
  </si>
  <si>
    <t>Official sales TWh</t>
  </si>
  <si>
    <t>Model sales TWh</t>
  </si>
  <si>
    <t>Official price</t>
  </si>
  <si>
    <t>Model price</t>
  </si>
  <si>
    <t>Official CO2 Mt</t>
  </si>
  <si>
    <t>Model CO2 Mt</t>
  </si>
  <si>
    <t>Result</t>
  </si>
  <si>
    <t>Matches after rounding</t>
  </si>
  <si>
    <t>India anchor cross-check</t>
  </si>
  <si>
    <t>Utility capacity MW</t>
  </si>
  <si>
    <t>Renewable capacity MW</t>
  </si>
  <si>
    <t>Review note</t>
  </si>
  <si>
    <t>Sales anchor matches exactly; tariff is a 2025 proxy paired with 2022-23 official sales.</t>
  </si>
  <si>
    <t>Sales anchor matches exactly; clean-share baseline is a modeled proxy informed by official capacity and planning context.</t>
  </si>
  <si>
    <t>Sales anchor matches exactly; tariff and clean-share baselines are modeled from multiple official sources.</t>
  </si>
  <si>
    <t>Sales anchor matches exactly; the state starts cleaner, so utilization and flexibility matter more.</t>
  </si>
  <si>
    <t>Sales anchor matches exactly; 2035 clean-share remains a modeled proxy, not a direct observed generation share.</t>
  </si>
  <si>
    <t>Key correction from the audit</t>
  </si>
  <si>
    <t>The India tool uses official CEA 2022-23 state sales volumes from General Review 2024 and pairs them with 2025 tariff proxies from the CEA Tariff Book. Earlier wording on the site could be read as if those sales anchors were observed 2025 values. That wording was corrected.</t>
  </si>
  <si>
    <t>Primary source URLs</t>
  </si>
  <si>
    <t>EIA state sales, revenue, and price workbook</t>
  </si>
  <si>
    <t>https://www.eia.gov/electricity/data/eia861m/xls/sales_revenue.xlsx</t>
  </si>
  <si>
    <t>EIA annual state power-sector emissions</t>
  </si>
  <si>
    <t>https://www.eia.gov/electricity/data/state/emission_annual.xlsx</t>
  </si>
  <si>
    <t>EIA Annual Energy Outlook 2026 Table 54</t>
  </si>
  <si>
    <t>https://www.eia.gov/outlooks/aeo/tables_ref.php</t>
  </si>
  <si>
    <t>LBNL retail price trends 2026</t>
  </si>
  <si>
    <t>https://emp.lbl.gov/sites/default/files/2026-03/Retail%20Price%20Trends_2026%20edition.pdf</t>
  </si>
  <si>
    <t>Grid Strategies load growth report 2025</t>
  </si>
  <si>
    <t>https://gridstrategiesllc.com/wp-content/uploads/Grid-Strategies-National-Load-Growth-Report-2025.pdf</t>
  </si>
  <si>
    <t>CEA Tariff Book 2025</t>
  </si>
  <si>
    <t>https://cea.nic.in/wp-content/uploads/fs___a/2026/03/Book_2025.pdf</t>
  </si>
  <si>
    <t>CEA General Review 2024</t>
  </si>
  <si>
    <t>https://cea.nic.in/wp-content/uploads/general/2024/General_Review_2024_2.pdf</t>
  </si>
  <si>
    <t>CEA installed-capacity reports</t>
  </si>
  <si>
    <t>https://cea.nic.in/installed-capacity-report/?lang=en</t>
  </si>
  <si>
    <t>Grid affordability playbook</t>
  </si>
  <si>
    <t>https://affordableenergysimulator.com/reports/grid-affordability-state-playbook.pdf</t>
  </si>
  <si>
    <t>Surplus interconnection paper</t>
  </si>
  <si>
    <t>https://affordableenergysimulator.com/reports/surplus-interconnection.pdf</t>
  </si>
  <si>
    <t>https://affordableenergysimulator.com/reports/reconductoring-wp343.pdf</t>
  </si>
  <si>
    <t>DOE VPP overview</t>
  </si>
  <si>
    <t>https://www.energy.gov/edf/virtual-power-plants-projects</t>
  </si>
  <si>
    <t>DOE PV benchmarks</t>
  </si>
  <si>
    <t>https://www.energy.gov/cmei/systems/solar-photovoltaic-system-cost-benchmarks</t>
  </si>
  <si>
    <t>Berkeley Lab U.S.-Germany PV study</t>
  </si>
  <si>
    <t>https://eta-publications.lbl.gov/publications/analysis-residential-pv-system-price</t>
  </si>
  <si>
    <t>SolarAPP+</t>
  </si>
  <si>
    <t>https://www.gosolarapp.org/</t>
  </si>
  <si>
    <t>Scarcity to Surplus</t>
  </si>
  <si>
    <t>https://scarcitytosurplus.com/</t>
  </si>
</sst>
</file>

<file path=xl/styles.xml><?xml version="1.0" encoding="utf-8"?>
<styleSheet xmlns="http://schemas.openxmlformats.org/spreadsheetml/2006/main">
  <numFmts count="2">
    <numFmt numFmtId="164" formatCode="0.000"/>
    <numFmt numFmtId="165" formatCode="0.0%"/>
  </numFmts>
  <fonts count="10">
    <font>
      <sz val="11"/>
      <color theme="1"/>
      <name val="Calibri"/>
      <family val="2"/>
      <scheme val="minor"/>
    </font>
    <font>
      <b/>
      <sz val="18"/>
      <color rgb="FF1F1F1F"/>
      <name val="Arial"/>
      <family val="2"/>
    </font>
    <font>
      <b/>
      <sz val="13"/>
      <color rgb="FF1F1F1F"/>
      <name val="Arial"/>
      <family val="2"/>
    </font>
    <font>
      <b/>
      <sz val="11"/>
      <color rgb="FFFFFFFF"/>
      <name val="Calibri"/>
      <family val="2"/>
      <scheme val="minor"/>
    </font>
    <font>
      <b/>
      <sz val="11"/>
      <color rgb="FF1F1F1F"/>
      <name val="Calibri"/>
      <family val="2"/>
      <scheme val="minor"/>
    </font>
    <font>
      <i/>
      <sz val="11"/>
      <color rgb="FF555555"/>
      <name val="Calibri"/>
      <family val="2"/>
      <scheme val="minor"/>
    </font>
    <font>
      <sz val="11"/>
      <color rgb="FF111111"/>
      <name val="Calibri"/>
      <family val="2"/>
      <scheme val="minor"/>
    </font>
    <font>
      <b/>
      <sz val="11"/>
      <color rgb="FF246A24"/>
      <name val="Calibri"/>
      <family val="2"/>
      <scheme val="minor"/>
    </font>
    <font>
      <sz val="11"/>
      <color rgb="FF0563C1"/>
      <name val="Calibri"/>
      <family val="2"/>
      <scheme val="minor"/>
    </font>
    <font>
      <sz val="8"/>
      <color indexed="81"/>
      <name val="Tahoma"/>
      <family val="2"/>
    </font>
  </fonts>
  <fills count="8">
    <fill>
      <patternFill patternType="none"/>
    </fill>
    <fill>
      <patternFill patternType="gray125"/>
    </fill>
    <fill>
      <patternFill patternType="solid">
        <fgColor rgb="FF203040"/>
        <bgColor indexed="64"/>
      </patternFill>
    </fill>
    <fill>
      <patternFill patternType="solid">
        <fgColor rgb="FFDDEBFF"/>
        <bgColor indexed="64"/>
      </patternFill>
    </fill>
    <fill>
      <patternFill patternType="solid">
        <fgColor rgb="FFE9EEF5"/>
        <bgColor indexed="64"/>
      </patternFill>
    </fill>
    <fill>
      <patternFill patternType="solid">
        <fgColor rgb="FFF0F0F0"/>
        <bgColor indexed="64"/>
      </patternFill>
    </fill>
    <fill>
      <patternFill patternType="solid">
        <fgColor rgb="FFFFF0D8"/>
        <bgColor indexed="64"/>
      </patternFill>
    </fill>
    <fill>
      <patternFill patternType="solid">
        <fgColor rgb="FFE3F5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0" borderId="0" xfId="0" applyFont="1"/>
    <xf numFmtId="0" fontId="2" fillId="0" borderId="0" xfId="0" applyFont="1"/>
    <xf numFmtId="0" fontId="0" fillId="0" borderId="0" xfId="0" applyAlignment="1">
      <alignment vertical="top" wrapText="1"/>
    </xf>
    <xf numFmtId="0" fontId="3" fillId="2" borderId="0" xfId="0" applyFont="1" applyFill="1"/>
    <xf numFmtId="164" fontId="0" fillId="0" borderId="0" xfId="0" applyNumberFormat="1"/>
    <xf numFmtId="165" fontId="0" fillId="0" borderId="0" xfId="0" applyNumberFormat="1"/>
    <xf numFmtId="1" fontId="0" fillId="3" borderId="1" xfId="0" applyNumberFormat="1" applyFill="1" applyBorder="1"/>
    <xf numFmtId="0" fontId="4" fillId="4" borderId="0" xfId="0" applyFont="1" applyFill="1"/>
    <xf numFmtId="0" fontId="5" fillId="0" borderId="0" xfId="0" applyFont="1" applyAlignment="1">
      <alignment vertical="top" wrapText="1"/>
    </xf>
    <xf numFmtId="0" fontId="0" fillId="5" borderId="1" xfId="0" applyFill="1" applyBorder="1"/>
    <xf numFmtId="0" fontId="6" fillId="0" borderId="1" xfId="0" applyFont="1" applyBorder="1"/>
    <xf numFmtId="0" fontId="0" fillId="6" borderId="1" xfId="0" applyFill="1" applyBorder="1" applyAlignment="1">
      <alignment wrapText="1"/>
    </xf>
    <xf numFmtId="164" fontId="6" fillId="0" borderId="1" xfId="0" applyNumberFormat="1" applyFont="1" applyBorder="1"/>
    <xf numFmtId="165" fontId="6" fillId="0" borderId="1" xfId="0" applyNumberFormat="1" applyFont="1" applyBorder="1"/>
    <xf numFmtId="0" fontId="7" fillId="7" borderId="0" xfId="0" applyFont="1" applyFill="1"/>
    <xf numFmtId="0" fontId="8" fillId="0" borderId="0" xfId="0" applyFont="1"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 Id="rId11" Type="http://schemas.openxmlformats.org/officeDocument/2006/relationships/styles" Target="styles.xml"/><Relationship Id="rId1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hyperlink" Target="https://www.eia.gov/electricity/data/eia861m/xls/sales_revenue.xlsx" TargetMode="External"/><Relationship Id="rId2" Type="http://schemas.openxmlformats.org/officeDocument/2006/relationships/hyperlink" Target="https://www.eia.gov/electricity/data/state/emission_annual.xlsx" TargetMode="External"/><Relationship Id="rId3" Type="http://schemas.openxmlformats.org/officeDocument/2006/relationships/hyperlink" Target="https://www.eia.gov/outlooks/aeo/tables_ref.php" TargetMode="External"/><Relationship Id="rId4" Type="http://schemas.openxmlformats.org/officeDocument/2006/relationships/hyperlink" Target="https://emp.lbl.gov/sites/default/files/2026-03/Retail%20Price%20Trends_2026%20edition.pdf" TargetMode="External"/><Relationship Id="rId5" Type="http://schemas.openxmlformats.org/officeDocument/2006/relationships/hyperlink" Target="https://gridstrategiesllc.com/wp-content/uploads/Grid-Strategies-National-Load-Growth-Report-2025.pdf" TargetMode="External"/><Relationship Id="rId6" Type="http://schemas.openxmlformats.org/officeDocument/2006/relationships/hyperlink" Target="https://cea.nic.in/wp-content/uploads/fs___a/2026/03/Book_2025.pdf" TargetMode="External"/><Relationship Id="rId7" Type="http://schemas.openxmlformats.org/officeDocument/2006/relationships/hyperlink" Target="https://cea.nic.in/wp-content/uploads/general/2024/General_Review_2024_2.pdf" TargetMode="External"/><Relationship Id="rId8" Type="http://schemas.openxmlformats.org/officeDocument/2006/relationships/hyperlink" Target="https://cea.nic.in/installed-capacity-report/?lang=en" TargetMode="External"/><Relationship Id="rId9" Type="http://schemas.openxmlformats.org/officeDocument/2006/relationships/hyperlink" Target="https://affordableenergysimulator.com/reports/grid-affordability-state-playbook.pdf" TargetMode="External"/><Relationship Id="rId10" Type="http://schemas.openxmlformats.org/officeDocument/2006/relationships/hyperlink" Target="https://affordableenergysimulator.com/reports/surplus-interconnection.pdf" TargetMode="External"/><Relationship Id="rId11" Type="http://schemas.openxmlformats.org/officeDocument/2006/relationships/hyperlink" Target="https://affordableenergysimulator.com/reports/reconductoring-wp343.pdf" TargetMode="External"/><Relationship Id="rId12" Type="http://schemas.openxmlformats.org/officeDocument/2006/relationships/hyperlink" Target="https://www.energy.gov/edf/virtual-power-plants-projects" TargetMode="External"/><Relationship Id="rId13" Type="http://schemas.openxmlformats.org/officeDocument/2006/relationships/hyperlink" Target="https://www.energy.gov/cmei/systems/solar-photovoltaic-system-cost-benchmarks" TargetMode="External"/><Relationship Id="rId14" Type="http://schemas.openxmlformats.org/officeDocument/2006/relationships/hyperlink" Target="https://eta-publications.lbl.gov/publications/analysis-residential-pv-system-price" TargetMode="External"/><Relationship Id="rId15" Type="http://schemas.openxmlformats.org/officeDocument/2006/relationships/hyperlink" Target="https://www.gosolarapp.org/" TargetMode="External"/><Relationship Id="rId16" Type="http://schemas.openxmlformats.org/officeDocument/2006/relationships/hyperlink" Target="https://scarcitytosurplus.com/" TargetMode="External"/><Relationship Id="rId17" Type="http://schemas.openxmlformats.org/officeDocument/2006/relationships/vmlDrawing" Target="../drawings/vmlDrawing2.vml"/><Relationship Id="rId18"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dimension ref="A1:F5"/>
  <sheetViews>
    <sheetView tabSelected="1" workbookViewId="0"/>
  </sheetViews>
  <sheetFormatPr defaultRowHeight="15"/>
  <sheetData>
    <row r="1" spans="1:6">
      <c r="A1" t="s">
        <v>0</v>
      </c>
      <c r="B1" t="s">
        <v>2</v>
      </c>
      <c r="C1" t="s">
        <v>4</v>
      </c>
      <c r="D1" t="s">
        <v>4</v>
      </c>
      <c r="E1" t="s">
        <v>9</v>
      </c>
      <c r="F1" t="s">
        <v>14</v>
      </c>
    </row>
    <row r="2" spans="1:6">
      <c r="A2" t="s">
        <v>1</v>
      </c>
      <c r="B2" t="s">
        <v>3</v>
      </c>
      <c r="C2" t="s">
        <v>5</v>
      </c>
      <c r="D2" t="s">
        <v>5</v>
      </c>
      <c r="E2" t="s">
        <v>10</v>
      </c>
      <c r="F2" t="s">
        <v>15</v>
      </c>
    </row>
    <row r="3" spans="1:6">
      <c r="C3" t="s">
        <v>6</v>
      </c>
      <c r="D3" t="s">
        <v>8</v>
      </c>
      <c r="E3" t="s">
        <v>11</v>
      </c>
      <c r="F3" t="s">
        <v>16</v>
      </c>
    </row>
    <row r="4" spans="1:6">
      <c r="C4" t="s">
        <v>7</v>
      </c>
      <c r="D4" t="s">
        <v>7</v>
      </c>
      <c r="E4" t="s">
        <v>12</v>
      </c>
      <c r="F4" t="s">
        <v>17</v>
      </c>
    </row>
    <row r="5" spans="1:6">
      <c r="E5" t="s">
        <v>13</v>
      </c>
      <c r="F5"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20"/>
  <sheetViews>
    <sheetView workbookViewId="0"/>
  </sheetViews>
  <sheetFormatPr defaultRowHeight="15"/>
  <cols>
    <col min="1" max="1" width="24.7109375" customWidth="1"/>
    <col min="2" max="2" width="110.7109375" customWidth="1"/>
  </cols>
  <sheetData>
    <row r="1" spans="1:2">
      <c r="A1" s="1" t="s">
        <v>19</v>
      </c>
    </row>
    <row r="3" spans="1:2">
      <c r="A3" s="2" t="s">
        <v>20</v>
      </c>
      <c r="B3" s="3" t="s">
        <v>21</v>
      </c>
    </row>
    <row r="5" spans="1:2">
      <c r="A5" s="2" t="s">
        <v>22</v>
      </c>
    </row>
    <row r="6" spans="1:2">
      <c r="B6" s="3" t="s">
        <v>23</v>
      </c>
    </row>
    <row r="7" spans="1:2">
      <c r="B7" s="3" t="s">
        <v>24</v>
      </c>
    </row>
    <row r="8" spans="1:2">
      <c r="B8" s="3" t="s">
        <v>25</v>
      </c>
    </row>
    <row r="9" spans="1:2">
      <c r="B9" s="3" t="s">
        <v>26</v>
      </c>
    </row>
    <row r="10" spans="1:2">
      <c r="B10" s="3" t="s">
        <v>27</v>
      </c>
    </row>
    <row r="11" spans="1:2">
      <c r="B11" s="3" t="s">
        <v>28</v>
      </c>
    </row>
    <row r="14" spans="1:2">
      <c r="A14" s="2" t="s">
        <v>29</v>
      </c>
      <c r="B14" s="3" t="s">
        <v>30</v>
      </c>
    </row>
    <row r="17" spans="1:2">
      <c r="A17" s="2" t="s">
        <v>31</v>
      </c>
      <c r="B17" s="3" t="s">
        <v>32</v>
      </c>
    </row>
    <row r="20" spans="1:2">
      <c r="A20" s="2" t="s">
        <v>33</v>
      </c>
      <c r="B20" s="3"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I8"/>
  <sheetViews>
    <sheetView workbookViewId="0">
      <pane ySplit="1" topLeftCell="A2" activePane="bottomLeft" state="frozen"/>
      <selection pane="bottomLeft"/>
    </sheetView>
  </sheetViews>
  <sheetFormatPr defaultRowHeight="15"/>
  <cols>
    <col min="1" max="1" width="24.7109375" customWidth="1"/>
    <col min="2" max="3" width="16.7109375" customWidth="1"/>
    <col min="4" max="4" width="45.7109375" customWidth="1"/>
    <col min="5" max="5" width="60.7109375" customWidth="1"/>
    <col min="6" max="7" width="22.7109375" customWidth="1"/>
    <col min="8" max="9" width="60.7109375" customWidth="1"/>
  </cols>
  <sheetData>
    <row r="1" spans="1:9">
      <c r="A1" s="4" t="s">
        <v>35</v>
      </c>
      <c r="B1" s="4" t="s">
        <v>36</v>
      </c>
      <c r="C1" s="4" t="s">
        <v>37</v>
      </c>
      <c r="D1" s="4" t="s">
        <v>38</v>
      </c>
      <c r="E1" s="4" t="s">
        <v>39</v>
      </c>
      <c r="F1" s="4" t="s">
        <v>40</v>
      </c>
      <c r="G1" s="4" t="s">
        <v>41</v>
      </c>
      <c r="H1" s="4" t="s">
        <v>42</v>
      </c>
      <c r="I1" s="4" t="s">
        <v>43</v>
      </c>
    </row>
    <row r="2" spans="1:9">
      <c r="A2" s="3" t="s">
        <v>44</v>
      </c>
      <c r="B2" s="3" t="s">
        <v>45</v>
      </c>
      <c r="C2" s="3" t="s">
        <v>46</v>
      </c>
      <c r="D2" s="3" t="s">
        <v>47</v>
      </c>
      <c r="E2" s="3" t="s">
        <v>48</v>
      </c>
      <c r="F2" s="3" t="s">
        <v>49</v>
      </c>
      <c r="G2" s="3" t="s">
        <v>50</v>
      </c>
      <c r="H2" s="3" t="s">
        <v>51</v>
      </c>
      <c r="I2" s="3" t="s">
        <v>52</v>
      </c>
    </row>
    <row r="3" spans="1:9">
      <c r="A3" s="3" t="s">
        <v>53</v>
      </c>
      <c r="B3" s="3" t="s">
        <v>45</v>
      </c>
      <c r="C3" s="3" t="s">
        <v>54</v>
      </c>
      <c r="D3" s="3" t="s">
        <v>55</v>
      </c>
      <c r="E3" s="3" t="s">
        <v>56</v>
      </c>
      <c r="F3" s="3" t="s">
        <v>57</v>
      </c>
      <c r="G3" s="3" t="s">
        <v>58</v>
      </c>
      <c r="H3" s="3" t="s">
        <v>59</v>
      </c>
      <c r="I3" s="3" t="s">
        <v>60</v>
      </c>
    </row>
    <row r="4" spans="1:9">
      <c r="A4" s="3" t="s">
        <v>61</v>
      </c>
      <c r="B4" s="3" t="s">
        <v>45</v>
      </c>
      <c r="C4" s="3" t="s">
        <v>62</v>
      </c>
      <c r="D4" s="3" t="s">
        <v>63</v>
      </c>
      <c r="E4" s="3" t="s">
        <v>64</v>
      </c>
      <c r="F4" s="3" t="s">
        <v>65</v>
      </c>
      <c r="G4" s="3" t="s">
        <v>66</v>
      </c>
      <c r="H4" s="3" t="s">
        <v>67</v>
      </c>
      <c r="I4" s="3" t="s">
        <v>68</v>
      </c>
    </row>
    <row r="5" spans="1:9">
      <c r="A5" s="3" t="s">
        <v>69</v>
      </c>
      <c r="B5" s="3" t="s">
        <v>70</v>
      </c>
      <c r="C5" s="3" t="s">
        <v>71</v>
      </c>
      <c r="D5" s="3" t="s">
        <v>72</v>
      </c>
      <c r="E5" s="3" t="s">
        <v>73</v>
      </c>
      <c r="F5" s="3" t="s">
        <v>65</v>
      </c>
      <c r="G5" s="3" t="s">
        <v>74</v>
      </c>
      <c r="H5" s="3" t="s">
        <v>75</v>
      </c>
      <c r="I5" s="3" t="s">
        <v>76</v>
      </c>
    </row>
    <row r="6" spans="1:9">
      <c r="A6" s="3" t="s">
        <v>77</v>
      </c>
      <c r="B6" s="3" t="s">
        <v>70</v>
      </c>
      <c r="C6" s="3" t="s">
        <v>78</v>
      </c>
      <c r="D6" s="3" t="s">
        <v>79</v>
      </c>
      <c r="E6" s="3" t="s">
        <v>80</v>
      </c>
      <c r="F6" s="3" t="s">
        <v>57</v>
      </c>
      <c r="G6" s="3" t="s">
        <v>81</v>
      </c>
      <c r="H6" s="3" t="s">
        <v>82</v>
      </c>
      <c r="I6" s="3" t="s">
        <v>83</v>
      </c>
    </row>
    <row r="7" spans="1:9">
      <c r="A7" s="3" t="s">
        <v>84</v>
      </c>
      <c r="B7" s="3" t="s">
        <v>70</v>
      </c>
      <c r="C7" s="3" t="s">
        <v>85</v>
      </c>
      <c r="D7" s="3" t="s">
        <v>86</v>
      </c>
      <c r="E7" s="3" t="s">
        <v>87</v>
      </c>
      <c r="F7" s="3" t="s">
        <v>88</v>
      </c>
      <c r="G7" s="3" t="s">
        <v>89</v>
      </c>
      <c r="H7" s="3" t="s">
        <v>90</v>
      </c>
      <c r="I7" s="3" t="s">
        <v>91</v>
      </c>
    </row>
    <row r="8" spans="1:9">
      <c r="A8" s="3" t="s">
        <v>92</v>
      </c>
      <c r="B8" s="3" t="s">
        <v>93</v>
      </c>
      <c r="C8" s="3" t="s">
        <v>94</v>
      </c>
      <c r="D8" s="3" t="s">
        <v>95</v>
      </c>
      <c r="E8" s="3" t="s">
        <v>96</v>
      </c>
      <c r="F8" s="3" t="s">
        <v>57</v>
      </c>
      <c r="G8" s="3" t="s">
        <v>97</v>
      </c>
      <c r="H8" s="3" t="s">
        <v>98</v>
      </c>
      <c r="I8" s="3"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K11"/>
  <sheetViews>
    <sheetView workbookViewId="0">
      <pane ySplit="1" topLeftCell="A2" activePane="bottomLeft" state="frozen"/>
      <selection pane="bottomLeft"/>
    </sheetView>
  </sheetViews>
  <sheetFormatPr defaultRowHeight="15"/>
  <cols>
    <col min="1" max="1" width="18.7109375" customWidth="1"/>
    <col min="2" max="3" width="14.7109375" customWidth="1"/>
    <col min="4" max="4" width="18.7109375" customWidth="1"/>
    <col min="5" max="5" width="10.7109375" customWidth="1"/>
    <col min="6" max="6" width="18.7109375" customWidth="1"/>
    <col min="7" max="31" width="14.7109375" customWidth="1"/>
    <col min="32" max="34" width="24.7109375" customWidth="1"/>
    <col min="35" max="36" width="60.7109375" customWidth="1"/>
  </cols>
  <sheetData>
    <row r="1" spans="1:37">
      <c r="A1" s="4" t="s">
        <v>99</v>
      </c>
      <c r="B1" s="4" t="s">
        <v>100</v>
      </c>
      <c r="C1" s="4" t="s">
        <v>101</v>
      </c>
      <c r="D1" s="4" t="s">
        <v>102</v>
      </c>
      <c r="E1" s="4" t="s">
        <v>103</v>
      </c>
      <c r="F1" s="4" t="s">
        <v>104</v>
      </c>
      <c r="G1" s="4" t="s">
        <v>105</v>
      </c>
      <c r="H1" s="4" t="s">
        <v>106</v>
      </c>
      <c r="I1" s="4" t="s">
        <v>107</v>
      </c>
      <c r="J1" s="4" t="s">
        <v>108</v>
      </c>
      <c r="K1" s="4" t="s">
        <v>109</v>
      </c>
      <c r="L1" s="4" t="s">
        <v>110</v>
      </c>
      <c r="M1" s="4" t="s">
        <v>111</v>
      </c>
      <c r="N1" s="4" t="s">
        <v>112</v>
      </c>
      <c r="O1" s="4" t="s">
        <v>113</v>
      </c>
      <c r="P1" s="4" t="s">
        <v>114</v>
      </c>
      <c r="Q1" s="4" t="s">
        <v>115</v>
      </c>
      <c r="R1" s="4" t="s">
        <v>116</v>
      </c>
      <c r="S1" s="4" t="s">
        <v>117</v>
      </c>
      <c r="T1" s="4" t="s">
        <v>118</v>
      </c>
      <c r="U1" s="4" t="s">
        <v>119</v>
      </c>
      <c r="V1" s="4" t="s">
        <v>120</v>
      </c>
      <c r="W1" s="4" t="s">
        <v>121</v>
      </c>
      <c r="X1" s="4" t="s">
        <v>122</v>
      </c>
      <c r="Y1" s="4" t="s">
        <v>123</v>
      </c>
      <c r="Z1" s="4" t="s">
        <v>124</v>
      </c>
      <c r="AA1" s="4" t="s">
        <v>125</v>
      </c>
      <c r="AB1" s="4" t="s">
        <v>126</v>
      </c>
      <c r="AC1" s="4" t="s">
        <v>127</v>
      </c>
      <c r="AD1" s="4" t="s">
        <v>128</v>
      </c>
      <c r="AE1" s="4" t="s">
        <v>129</v>
      </c>
      <c r="AF1" s="4" t="s">
        <v>130</v>
      </c>
      <c r="AG1" s="4" t="s">
        <v>131</v>
      </c>
      <c r="AH1" s="4" t="s">
        <v>132</v>
      </c>
      <c r="AI1" s="4" t="s">
        <v>133</v>
      </c>
      <c r="AJ1" s="4" t="s">
        <v>134</v>
      </c>
      <c r="AK1" s="4" t="s">
        <v>135</v>
      </c>
    </row>
    <row r="2" spans="1:37">
      <c r="A2" s="3" t="s">
        <v>136</v>
      </c>
      <c r="B2" s="3" t="s">
        <v>137</v>
      </c>
      <c r="C2" s="3" t="s">
        <v>0</v>
      </c>
      <c r="D2" s="3" t="s">
        <v>9</v>
      </c>
      <c r="E2" s="3" t="s">
        <v>138</v>
      </c>
      <c r="F2" s="3" t="s">
        <v>6</v>
      </c>
      <c r="G2" s="5">
        <v>14.2</v>
      </c>
      <c r="H2" s="5">
        <v>238</v>
      </c>
      <c r="I2" s="5">
        <v>244.2</v>
      </c>
      <c r="J2" s="5">
        <v>219.2</v>
      </c>
      <c r="K2" s="5">
        <v>257</v>
      </c>
      <c r="L2" s="5">
        <v>277</v>
      </c>
      <c r="M2" s="5">
        <v>14.744</v>
      </c>
      <c r="N2" s="5">
        <v>2.503</v>
      </c>
      <c r="O2" s="5">
        <v>10.379</v>
      </c>
      <c r="P2" s="5">
        <v>27.625</v>
      </c>
      <c r="Q2" s="5">
        <v>11.903</v>
      </c>
      <c r="R2" s="5">
        <v>2.764</v>
      </c>
      <c r="S2" s="5">
        <v>10.939</v>
      </c>
      <c r="T2" s="5">
        <v>25.605</v>
      </c>
      <c r="U2" s="5">
        <v>12.708</v>
      </c>
      <c r="V2" s="5">
        <v>2.878</v>
      </c>
      <c r="W2" s="5">
        <v>11.326</v>
      </c>
      <c r="X2" s="5">
        <v>26.912</v>
      </c>
      <c r="Y2" s="5">
        <v>0.12</v>
      </c>
      <c r="Z2" s="5">
        <v>0.24</v>
      </c>
      <c r="AA2" s="5">
        <v>0.32</v>
      </c>
      <c r="AB2" s="6">
        <v>0.583</v>
      </c>
      <c r="AC2" s="6">
        <v>0.78</v>
      </c>
      <c r="AD2" s="5">
        <v>39.6</v>
      </c>
      <c r="AE2" s="5">
        <v>20.3</v>
      </c>
      <c r="AF2" s="3" t="s">
        <v>139</v>
      </c>
      <c r="AG2" s="3" t="s">
        <v>140</v>
      </c>
      <c r="AH2" s="3" t="s">
        <v>141</v>
      </c>
      <c r="AI2" s="3" t="s">
        <v>142</v>
      </c>
      <c r="AJ2" s="3" t="s">
        <v>143</v>
      </c>
      <c r="AK2" s="3" t="s">
        <v>144</v>
      </c>
    </row>
    <row r="3" spans="1:37">
      <c r="A3" s="3" t="s">
        <v>145</v>
      </c>
      <c r="B3" s="3" t="s">
        <v>137</v>
      </c>
      <c r="C3" s="3" t="s">
        <v>0</v>
      </c>
      <c r="D3" s="3" t="s">
        <v>10</v>
      </c>
      <c r="E3" s="3" t="s">
        <v>146</v>
      </c>
      <c r="F3" s="3" t="s">
        <v>7</v>
      </c>
      <c r="G3" s="5">
        <v>12.7</v>
      </c>
      <c r="H3" s="5">
        <v>519.7</v>
      </c>
      <c r="I3" s="5">
        <v>572.8</v>
      </c>
      <c r="J3" s="5">
        <v>607.2</v>
      </c>
      <c r="K3" s="5">
        <v>603</v>
      </c>
      <c r="L3" s="5">
        <v>682</v>
      </c>
      <c r="M3" s="5">
        <v>6.262</v>
      </c>
      <c r="N3" s="5">
        <v>2.572</v>
      </c>
      <c r="O3" s="5">
        <v>1.348</v>
      </c>
      <c r="P3" s="5">
        <v>10.182</v>
      </c>
      <c r="Q3" s="5">
        <v>6.767</v>
      </c>
      <c r="R3" s="5">
        <v>2.748</v>
      </c>
      <c r="S3" s="5">
        <v>1.46</v>
      </c>
      <c r="T3" s="5">
        <v>10.975</v>
      </c>
      <c r="U3" s="5">
        <v>6.823</v>
      </c>
      <c r="V3" s="5">
        <v>2.887</v>
      </c>
      <c r="W3" s="5">
        <v>1.548</v>
      </c>
      <c r="X3" s="5">
        <v>11.257</v>
      </c>
      <c r="Y3" s="5">
        <v>0.18</v>
      </c>
      <c r="Z3" s="5">
        <v>0.15</v>
      </c>
      <c r="AA3" s="5">
        <v>0.24</v>
      </c>
      <c r="AB3" s="6">
        <v>0.467</v>
      </c>
      <c r="AC3" s="6">
        <v>0.742</v>
      </c>
      <c r="AD3" s="5">
        <v>211.9</v>
      </c>
      <c r="AE3" s="5">
        <v>123.6</v>
      </c>
      <c r="AF3" s="3" t="s">
        <v>139</v>
      </c>
      <c r="AG3" s="3" t="s">
        <v>140</v>
      </c>
      <c r="AH3" s="3" t="s">
        <v>141</v>
      </c>
      <c r="AI3" s="3" t="s">
        <v>147</v>
      </c>
      <c r="AJ3" s="3" t="s">
        <v>148</v>
      </c>
      <c r="AK3" s="3" t="s">
        <v>144</v>
      </c>
    </row>
    <row r="4" spans="1:37">
      <c r="A4" s="3" t="s">
        <v>149</v>
      </c>
      <c r="B4" s="3" t="s">
        <v>137</v>
      </c>
      <c r="C4" s="3" t="s">
        <v>0</v>
      </c>
      <c r="D4" s="3" t="s">
        <v>11</v>
      </c>
      <c r="E4" s="3" t="s">
        <v>150</v>
      </c>
      <c r="F4" s="3" t="s">
        <v>6</v>
      </c>
      <c r="G4" s="5">
        <v>10.6</v>
      </c>
      <c r="H4" s="5">
        <v>257.9</v>
      </c>
      <c r="I4" s="5">
        <v>276.2</v>
      </c>
      <c r="J4" s="5">
        <v>296.8</v>
      </c>
      <c r="K4" s="5">
        <v>288</v>
      </c>
      <c r="L4" s="5">
        <v>323</v>
      </c>
      <c r="M4" s="5">
        <v>8.23</v>
      </c>
      <c r="N4" s="5">
        <v>0.9350000000000001</v>
      </c>
      <c r="O4" s="5">
        <v>4.176</v>
      </c>
      <c r="P4" s="5">
        <v>13.341</v>
      </c>
      <c r="Q4" s="5">
        <v>7.573</v>
      </c>
      <c r="R4" s="5">
        <v>1.143</v>
      </c>
      <c r="S4" s="5">
        <v>4.371</v>
      </c>
      <c r="T4" s="5">
        <v>13.086</v>
      </c>
      <c r="U4" s="5">
        <v>7.737</v>
      </c>
      <c r="V4" s="5">
        <v>1.266</v>
      </c>
      <c r="W4" s="5">
        <v>4.469</v>
      </c>
      <c r="X4" s="5">
        <v>13.472</v>
      </c>
      <c r="Y4" s="5">
        <v>0.17</v>
      </c>
      <c r="Z4" s="5">
        <v>0.12</v>
      </c>
      <c r="AA4" s="5">
        <v>0.26</v>
      </c>
      <c r="AB4" s="6">
        <v>0.21</v>
      </c>
      <c r="AC4" s="6">
        <v>0.435</v>
      </c>
      <c r="AD4" s="5">
        <v>92.5</v>
      </c>
      <c r="AE4" s="5">
        <v>76.09999999999999</v>
      </c>
      <c r="AF4" s="3" t="s">
        <v>139</v>
      </c>
      <c r="AG4" s="3" t="s">
        <v>140</v>
      </c>
      <c r="AH4" s="3" t="s">
        <v>141</v>
      </c>
      <c r="AI4" s="3" t="s">
        <v>151</v>
      </c>
      <c r="AJ4" s="3" t="s">
        <v>152</v>
      </c>
      <c r="AK4" s="3" t="s">
        <v>144</v>
      </c>
    </row>
    <row r="5" spans="1:37">
      <c r="A5" s="3" t="s">
        <v>153</v>
      </c>
      <c r="B5" s="3" t="s">
        <v>137</v>
      </c>
      <c r="C5" s="3" t="s">
        <v>0</v>
      </c>
      <c r="D5" s="3" t="s">
        <v>12</v>
      </c>
      <c r="E5" s="3" t="s">
        <v>154</v>
      </c>
      <c r="F5" s="3" t="s">
        <v>7</v>
      </c>
      <c r="G5" s="5">
        <v>7.5</v>
      </c>
      <c r="H5" s="5">
        <v>143.5</v>
      </c>
      <c r="I5" s="5">
        <v>154.8</v>
      </c>
      <c r="J5" s="5">
        <v>151.3</v>
      </c>
      <c r="K5" s="5">
        <v>158</v>
      </c>
      <c r="L5" s="5">
        <v>169</v>
      </c>
      <c r="M5" s="5">
        <v>9.016999999999999</v>
      </c>
      <c r="N5" s="5">
        <v>2.09</v>
      </c>
      <c r="O5" s="5">
        <v>10.515</v>
      </c>
      <c r="P5" s="5">
        <v>21.622</v>
      </c>
      <c r="Q5" s="5">
        <v>7.266</v>
      </c>
      <c r="R5" s="5">
        <v>2.565</v>
      </c>
      <c r="S5" s="5">
        <v>11.278</v>
      </c>
      <c r="T5" s="5">
        <v>21.109</v>
      </c>
      <c r="U5" s="5">
        <v>7.032</v>
      </c>
      <c r="V5" s="5">
        <v>2.79</v>
      </c>
      <c r="W5" s="5">
        <v>11.661</v>
      </c>
      <c r="X5" s="5">
        <v>21.483</v>
      </c>
      <c r="Y5" s="5">
        <v>0.1</v>
      </c>
      <c r="Z5" s="5">
        <v>0.23</v>
      </c>
      <c r="AA5" s="5">
        <v>0.3</v>
      </c>
      <c r="AB5" s="6">
        <v>0.615</v>
      </c>
      <c r="AC5" s="6">
        <v>0.802</v>
      </c>
      <c r="AD5" s="5">
        <v>31.5</v>
      </c>
      <c r="AE5" s="5">
        <v>17.5</v>
      </c>
      <c r="AF5" s="3" t="s">
        <v>139</v>
      </c>
      <c r="AG5" s="3" t="s">
        <v>140</v>
      </c>
      <c r="AH5" s="3" t="s">
        <v>141</v>
      </c>
      <c r="AI5" s="3" t="s">
        <v>155</v>
      </c>
      <c r="AJ5" s="3" t="s">
        <v>156</v>
      </c>
      <c r="AK5" s="3" t="s">
        <v>144</v>
      </c>
    </row>
    <row r="6" spans="1:37">
      <c r="A6" s="3" t="s">
        <v>157</v>
      </c>
      <c r="B6" s="3" t="s">
        <v>137</v>
      </c>
      <c r="C6" s="3" t="s">
        <v>0</v>
      </c>
      <c r="D6" s="3" t="s">
        <v>13</v>
      </c>
      <c r="E6" s="3" t="s">
        <v>158</v>
      </c>
      <c r="F6" s="3" t="s">
        <v>5</v>
      </c>
      <c r="G6" s="5">
        <v>5.4</v>
      </c>
      <c r="H6" s="5">
        <v>135.4</v>
      </c>
      <c r="I6" s="5">
        <v>138.7</v>
      </c>
      <c r="J6" s="5">
        <v>127.1</v>
      </c>
      <c r="K6" s="5">
        <v>141</v>
      </c>
      <c r="L6" s="5">
        <v>148</v>
      </c>
      <c r="M6" s="5">
        <v>7.326</v>
      </c>
      <c r="N6" s="5">
        <v>1.778</v>
      </c>
      <c r="O6" s="5">
        <v>4.635</v>
      </c>
      <c r="P6" s="5">
        <v>13.74</v>
      </c>
      <c r="Q6" s="5">
        <v>7.927</v>
      </c>
      <c r="R6" s="5">
        <v>1.848</v>
      </c>
      <c r="S6" s="5">
        <v>5.044</v>
      </c>
      <c r="T6" s="5">
        <v>14.818</v>
      </c>
      <c r="U6" s="5">
        <v>7.642</v>
      </c>
      <c r="V6" s="5">
        <v>1.945</v>
      </c>
      <c r="W6" s="5">
        <v>5.428</v>
      </c>
      <c r="X6" s="5">
        <v>15.015</v>
      </c>
      <c r="Y6" s="5">
        <v>0.11</v>
      </c>
      <c r="Z6" s="5">
        <v>0.18</v>
      </c>
      <c r="AA6" s="5">
        <v>0.22</v>
      </c>
      <c r="AB6" s="6">
        <v>0.792</v>
      </c>
      <c r="AC6" s="6">
        <v>0.869</v>
      </c>
      <c r="AD6" s="5">
        <v>42.9</v>
      </c>
      <c r="AE6" s="5">
        <v>25.6</v>
      </c>
      <c r="AF6" s="3" t="s">
        <v>139</v>
      </c>
      <c r="AG6" s="3" t="s">
        <v>140</v>
      </c>
      <c r="AH6" s="3" t="s">
        <v>141</v>
      </c>
      <c r="AI6" s="3" t="s">
        <v>159</v>
      </c>
      <c r="AJ6" s="3" t="s">
        <v>160</v>
      </c>
      <c r="AK6" s="3" t="s">
        <v>144</v>
      </c>
    </row>
    <row r="7" spans="1:37">
      <c r="A7" s="3" t="s">
        <v>161</v>
      </c>
      <c r="B7" s="3" t="s">
        <v>162</v>
      </c>
      <c r="C7" s="3" t="s">
        <v>1</v>
      </c>
      <c r="D7" s="3" t="s">
        <v>14</v>
      </c>
      <c r="E7" s="3" t="s">
        <v>163</v>
      </c>
      <c r="F7" s="3" t="s">
        <v>7</v>
      </c>
      <c r="G7" s="5">
        <v>21.2</v>
      </c>
      <c r="H7" s="5">
        <v>103.679</v>
      </c>
      <c r="I7" s="5">
        <v>137.2</v>
      </c>
      <c r="J7" s="5">
        <v>181.4</v>
      </c>
      <c r="K7" s="5">
        <v>144.6</v>
      </c>
      <c r="L7" s="5">
        <v>192.1</v>
      </c>
      <c r="M7" s="5">
        <v>4.051</v>
      </c>
      <c r="N7" s="5">
        <v>0.868</v>
      </c>
      <c r="O7" s="5">
        <v>2.315</v>
      </c>
      <c r="P7" s="5">
        <v>7.234</v>
      </c>
      <c r="Q7" s="5">
        <v>3.808</v>
      </c>
      <c r="R7" s="5">
        <v>0.955</v>
      </c>
      <c r="S7" s="5">
        <v>2.5</v>
      </c>
      <c r="T7" s="5">
        <v>7.263</v>
      </c>
      <c r="U7" s="5">
        <v>3.322</v>
      </c>
      <c r="V7" s="5">
        <v>0.972</v>
      </c>
      <c r="W7" s="5">
        <v>2.546</v>
      </c>
      <c r="X7" s="5">
        <v>6.84</v>
      </c>
      <c r="Y7" s="5">
        <v>0.16</v>
      </c>
      <c r="Z7" s="5">
        <v>0.22</v>
      </c>
      <c r="AA7" s="5">
        <v>0.18</v>
      </c>
      <c r="AB7" s="6">
        <v>0.634</v>
      </c>
      <c r="AC7" s="6">
        <v>0.84</v>
      </c>
      <c r="AD7" s="5">
        <v>28.8</v>
      </c>
      <c r="AE7" s="5">
        <v>22</v>
      </c>
      <c r="AF7" s="3" t="s">
        <v>164</v>
      </c>
      <c r="AG7" s="3" t="s">
        <v>165</v>
      </c>
      <c r="AH7" s="3" t="s">
        <v>166</v>
      </c>
      <c r="AI7" s="3" t="s">
        <v>167</v>
      </c>
      <c r="AJ7" s="3" t="s">
        <v>168</v>
      </c>
      <c r="AK7" s="3" t="s">
        <v>169</v>
      </c>
    </row>
    <row r="8" spans="1:37">
      <c r="A8" s="3" t="s">
        <v>170</v>
      </c>
      <c r="B8" s="3" t="s">
        <v>162</v>
      </c>
      <c r="C8" s="3" t="s">
        <v>1</v>
      </c>
      <c r="D8" s="3" t="s">
        <v>15</v>
      </c>
      <c r="E8" s="3" t="s">
        <v>171</v>
      </c>
      <c r="F8" s="3" t="s">
        <v>8</v>
      </c>
      <c r="G8" s="5">
        <v>15.8</v>
      </c>
      <c r="H8" s="5">
        <v>124.101</v>
      </c>
      <c r="I8" s="5">
        <v>173.3</v>
      </c>
      <c r="J8" s="5">
        <v>242</v>
      </c>
      <c r="K8" s="5">
        <v>183.5</v>
      </c>
      <c r="L8" s="5">
        <v>258</v>
      </c>
      <c r="M8" s="5">
        <v>3.742</v>
      </c>
      <c r="N8" s="5">
        <v>0.901</v>
      </c>
      <c r="O8" s="5">
        <v>2.287</v>
      </c>
      <c r="P8" s="5">
        <v>6.93</v>
      </c>
      <c r="Q8" s="5">
        <v>3.517</v>
      </c>
      <c r="R8" s="5">
        <v>0.991</v>
      </c>
      <c r="S8" s="5">
        <v>2.47</v>
      </c>
      <c r="T8" s="5">
        <v>6.978</v>
      </c>
      <c r="U8" s="5">
        <v>3.069</v>
      </c>
      <c r="V8" s="5">
        <v>1.009</v>
      </c>
      <c r="W8" s="5">
        <v>2.516</v>
      </c>
      <c r="X8" s="5">
        <v>6.594</v>
      </c>
      <c r="Y8" s="5">
        <v>0.18</v>
      </c>
      <c r="Z8" s="5">
        <v>0.24</v>
      </c>
      <c r="AA8" s="5">
        <v>0.19</v>
      </c>
      <c r="AB8" s="6">
        <v>0.651</v>
      </c>
      <c r="AC8" s="6">
        <v>0.82</v>
      </c>
      <c r="AD8" s="5">
        <v>51.3</v>
      </c>
      <c r="AE8" s="5">
        <v>51.8</v>
      </c>
      <c r="AF8" s="3" t="s">
        <v>164</v>
      </c>
      <c r="AG8" s="3" t="s">
        <v>165</v>
      </c>
      <c r="AH8" s="3" t="s">
        <v>166</v>
      </c>
      <c r="AI8" s="3" t="s">
        <v>172</v>
      </c>
      <c r="AJ8" s="3" t="s">
        <v>173</v>
      </c>
      <c r="AK8" s="3" t="s">
        <v>174</v>
      </c>
    </row>
    <row r="9" spans="1:37">
      <c r="A9" s="3" t="s">
        <v>175</v>
      </c>
      <c r="B9" s="3" t="s">
        <v>162</v>
      </c>
      <c r="C9" s="3" t="s">
        <v>1</v>
      </c>
      <c r="D9" s="3" t="s">
        <v>16</v>
      </c>
      <c r="E9" s="3" t="s">
        <v>176</v>
      </c>
      <c r="F9" s="3" t="s">
        <v>5</v>
      </c>
      <c r="G9" s="5">
        <v>29.5</v>
      </c>
      <c r="H9" s="5">
        <v>155.518</v>
      </c>
      <c r="I9" s="5">
        <v>208.6</v>
      </c>
      <c r="J9" s="5">
        <v>279.9</v>
      </c>
      <c r="K9" s="5">
        <v>220</v>
      </c>
      <c r="L9" s="5">
        <v>298.5</v>
      </c>
      <c r="M9" s="5">
        <v>4.147</v>
      </c>
      <c r="N9" s="5">
        <v>1.078</v>
      </c>
      <c r="O9" s="5">
        <v>3.069</v>
      </c>
      <c r="P9" s="5">
        <v>8.295</v>
      </c>
      <c r="Q9" s="5">
        <v>3.898</v>
      </c>
      <c r="R9" s="5">
        <v>1.186</v>
      </c>
      <c r="S9" s="5">
        <v>3.314</v>
      </c>
      <c r="T9" s="5">
        <v>8.398</v>
      </c>
      <c r="U9" s="5">
        <v>3.401</v>
      </c>
      <c r="V9" s="5">
        <v>1.208</v>
      </c>
      <c r="W9" s="5">
        <v>3.375</v>
      </c>
      <c r="X9" s="5">
        <v>7.984</v>
      </c>
      <c r="Y9" s="5">
        <v>0.17</v>
      </c>
      <c r="Z9" s="5">
        <v>0.21</v>
      </c>
      <c r="AA9" s="5">
        <v>0.26</v>
      </c>
      <c r="AB9" s="6">
        <v>0.543</v>
      </c>
      <c r="AC9" s="6">
        <v>0.76</v>
      </c>
      <c r="AD9" s="5">
        <v>99.59999999999999</v>
      </c>
      <c r="AE9" s="5">
        <v>94</v>
      </c>
      <c r="AF9" s="3" t="s">
        <v>164</v>
      </c>
      <c r="AG9" s="3" t="s">
        <v>165</v>
      </c>
      <c r="AH9" s="3" t="s">
        <v>166</v>
      </c>
      <c r="AI9" s="3" t="s">
        <v>177</v>
      </c>
      <c r="AJ9" s="3" t="s">
        <v>178</v>
      </c>
      <c r="AK9" s="3" t="s">
        <v>179</v>
      </c>
    </row>
    <row r="10" spans="1:37">
      <c r="A10" s="3" t="s">
        <v>180</v>
      </c>
      <c r="B10" s="3" t="s">
        <v>162</v>
      </c>
      <c r="C10" s="3" t="s">
        <v>1</v>
      </c>
      <c r="D10" s="3" t="s">
        <v>17</v>
      </c>
      <c r="E10" s="3" t="s">
        <v>181</v>
      </c>
      <c r="F10" s="3" t="s">
        <v>7</v>
      </c>
      <c r="G10" s="5">
        <v>17.3</v>
      </c>
      <c r="H10" s="5">
        <v>66.357</v>
      </c>
      <c r="I10" s="5">
        <v>90.3</v>
      </c>
      <c r="J10" s="5">
        <v>122.8</v>
      </c>
      <c r="K10" s="5">
        <v>95</v>
      </c>
      <c r="L10" s="5">
        <v>130.2</v>
      </c>
      <c r="M10" s="5">
        <v>3.994</v>
      </c>
      <c r="N10" s="5">
        <v>0.904</v>
      </c>
      <c r="O10" s="5">
        <v>2.637</v>
      </c>
      <c r="P10" s="5">
        <v>7.535</v>
      </c>
      <c r="Q10" s="5">
        <v>3.754</v>
      </c>
      <c r="R10" s="5">
        <v>0.994</v>
      </c>
      <c r="S10" s="5">
        <v>2.848</v>
      </c>
      <c r="T10" s="5">
        <v>7.596</v>
      </c>
      <c r="U10" s="5">
        <v>3.275</v>
      </c>
      <c r="V10" s="5">
        <v>1.012</v>
      </c>
      <c r="W10" s="5">
        <v>2.901</v>
      </c>
      <c r="X10" s="5">
        <v>7.188</v>
      </c>
      <c r="Y10" s="5">
        <v>0.14</v>
      </c>
      <c r="Z10" s="5">
        <v>0.19</v>
      </c>
      <c r="AA10" s="5">
        <v>0.21</v>
      </c>
      <c r="AB10" s="6">
        <v>0.714</v>
      </c>
      <c r="AC10" s="6">
        <v>0.87</v>
      </c>
      <c r="AD10" s="5">
        <v>22.5</v>
      </c>
      <c r="AE10" s="5">
        <v>19</v>
      </c>
      <c r="AF10" s="3" t="s">
        <v>164</v>
      </c>
      <c r="AG10" s="3" t="s">
        <v>165</v>
      </c>
      <c r="AH10" s="3" t="s">
        <v>166</v>
      </c>
      <c r="AI10" s="3" t="s">
        <v>182</v>
      </c>
      <c r="AJ10" s="3" t="s">
        <v>183</v>
      </c>
      <c r="AK10" s="3" t="s">
        <v>174</v>
      </c>
    </row>
    <row r="11" spans="1:37">
      <c r="A11" s="3" t="s">
        <v>184</v>
      </c>
      <c r="B11" s="3" t="s">
        <v>162</v>
      </c>
      <c r="C11" s="3" t="s">
        <v>1</v>
      </c>
      <c r="D11" s="3" t="s">
        <v>18</v>
      </c>
      <c r="E11" s="3" t="s">
        <v>185</v>
      </c>
      <c r="F11" s="3" t="s">
        <v>8</v>
      </c>
      <c r="G11" s="5">
        <v>18.2</v>
      </c>
      <c r="H11" s="5">
        <v>79.61499999999999</v>
      </c>
      <c r="I11" s="5">
        <v>114</v>
      </c>
      <c r="J11" s="5">
        <v>163.2</v>
      </c>
      <c r="K11" s="5">
        <v>121</v>
      </c>
      <c r="L11" s="5">
        <v>174.8</v>
      </c>
      <c r="M11" s="5">
        <v>3.938</v>
      </c>
      <c r="N11" s="5">
        <v>1.002</v>
      </c>
      <c r="O11" s="5">
        <v>2.219</v>
      </c>
      <c r="P11" s="5">
        <v>7.159</v>
      </c>
      <c r="Q11" s="5">
        <v>3.702</v>
      </c>
      <c r="R11" s="5">
        <v>1.102</v>
      </c>
      <c r="S11" s="5">
        <v>2.396</v>
      </c>
      <c r="T11" s="5">
        <v>7.2</v>
      </c>
      <c r="U11" s="5">
        <v>3.225</v>
      </c>
      <c r="V11" s="5">
        <v>1.122</v>
      </c>
      <c r="W11" s="5">
        <v>2.441</v>
      </c>
      <c r="X11" s="5">
        <v>6.788</v>
      </c>
      <c r="Y11" s="5">
        <v>0.16</v>
      </c>
      <c r="Z11" s="5">
        <v>0.28</v>
      </c>
      <c r="AA11" s="5">
        <v>0.17</v>
      </c>
      <c r="AB11" s="6">
        <v>0.762</v>
      </c>
      <c r="AC11" s="6">
        <v>0.91</v>
      </c>
      <c r="AD11" s="5">
        <v>52.1</v>
      </c>
      <c r="AE11" s="5">
        <v>40.5</v>
      </c>
      <c r="AF11" s="3" t="s">
        <v>164</v>
      </c>
      <c r="AG11" s="3" t="s">
        <v>165</v>
      </c>
      <c r="AH11" s="3" t="s">
        <v>166</v>
      </c>
      <c r="AI11" s="3" t="s">
        <v>186</v>
      </c>
      <c r="AJ11" s="3" t="s">
        <v>187</v>
      </c>
      <c r="AK11" s="3"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G43"/>
  <sheetViews>
    <sheetView workbookViewId="0">
      <pane ySplit="1" topLeftCell="A2" activePane="bottomLeft" state="frozen"/>
      <selection pane="bottomLeft"/>
    </sheetView>
  </sheetViews>
  <sheetFormatPr defaultRowHeight="15"/>
  <cols>
    <col min="1" max="1" width="40.7109375" customWidth="1"/>
    <col min="2" max="4" width="18.7109375" customWidth="1"/>
    <col min="5" max="5" width="12.7109375" customWidth="1"/>
    <col min="6" max="7" width="36.7109375" customWidth="1"/>
  </cols>
  <sheetData>
    <row r="1" spans="1:7">
      <c r="A1" s="4" t="s">
        <v>188</v>
      </c>
      <c r="B1" s="4" t="s">
        <v>100</v>
      </c>
      <c r="C1" s="4" t="s">
        <v>189</v>
      </c>
      <c r="D1" s="4" t="s">
        <v>35</v>
      </c>
      <c r="E1" s="4" t="s">
        <v>190</v>
      </c>
      <c r="F1" s="4" t="s">
        <v>191</v>
      </c>
      <c r="G1" s="4" t="s">
        <v>192</v>
      </c>
    </row>
    <row r="2" spans="1:7">
      <c r="A2" s="3" t="s">
        <v>193</v>
      </c>
      <c r="B2" s="3" t="s">
        <v>137</v>
      </c>
      <c r="C2" s="3" t="s">
        <v>5</v>
      </c>
      <c r="D2" s="3" t="s">
        <v>44</v>
      </c>
      <c r="E2" s="7">
        <v>56</v>
      </c>
      <c r="F2" s="3" t="s">
        <v>194</v>
      </c>
      <c r="G2" s="3" t="s">
        <v>195</v>
      </c>
    </row>
    <row r="3" spans="1:7">
      <c r="A3" s="3" t="s">
        <v>196</v>
      </c>
      <c r="B3" s="3" t="s">
        <v>137</v>
      </c>
      <c r="C3" s="3" t="s">
        <v>5</v>
      </c>
      <c r="D3" s="3" t="s">
        <v>53</v>
      </c>
      <c r="E3" s="7">
        <v>52</v>
      </c>
      <c r="F3" s="3" t="s">
        <v>194</v>
      </c>
      <c r="G3" s="3" t="s">
        <v>195</v>
      </c>
    </row>
    <row r="4" spans="1:7">
      <c r="A4" s="3" t="s">
        <v>197</v>
      </c>
      <c r="B4" s="3" t="s">
        <v>137</v>
      </c>
      <c r="C4" s="3" t="s">
        <v>5</v>
      </c>
      <c r="D4" s="3" t="s">
        <v>61</v>
      </c>
      <c r="E4" s="7">
        <v>48</v>
      </c>
      <c r="F4" s="3" t="s">
        <v>194</v>
      </c>
      <c r="G4" s="3" t="s">
        <v>195</v>
      </c>
    </row>
    <row r="5" spans="1:7">
      <c r="A5" s="3" t="s">
        <v>198</v>
      </c>
      <c r="B5" s="3" t="s">
        <v>137</v>
      </c>
      <c r="C5" s="3" t="s">
        <v>5</v>
      </c>
      <c r="D5" s="3" t="s">
        <v>69</v>
      </c>
      <c r="E5" s="7">
        <v>54</v>
      </c>
      <c r="F5" s="3" t="s">
        <v>194</v>
      </c>
      <c r="G5" s="3" t="s">
        <v>195</v>
      </c>
    </row>
    <row r="6" spans="1:7">
      <c r="A6" s="3" t="s">
        <v>199</v>
      </c>
      <c r="B6" s="3" t="s">
        <v>137</v>
      </c>
      <c r="C6" s="3" t="s">
        <v>5</v>
      </c>
      <c r="D6" s="3" t="s">
        <v>77</v>
      </c>
      <c r="E6" s="7">
        <v>58</v>
      </c>
      <c r="F6" s="3" t="s">
        <v>194</v>
      </c>
      <c r="G6" s="3" t="s">
        <v>195</v>
      </c>
    </row>
    <row r="7" spans="1:7">
      <c r="A7" s="3" t="s">
        <v>200</v>
      </c>
      <c r="B7" s="3" t="s">
        <v>137</v>
      </c>
      <c r="C7" s="3" t="s">
        <v>5</v>
      </c>
      <c r="D7" s="3" t="s">
        <v>84</v>
      </c>
      <c r="E7" s="7">
        <v>46</v>
      </c>
      <c r="F7" s="3" t="s">
        <v>194</v>
      </c>
      <c r="G7" s="3" t="s">
        <v>195</v>
      </c>
    </row>
    <row r="8" spans="1:7">
      <c r="A8" s="3" t="s">
        <v>201</v>
      </c>
      <c r="B8" s="3" t="s">
        <v>137</v>
      </c>
      <c r="C8" s="3" t="s">
        <v>5</v>
      </c>
      <c r="D8" s="3" t="s">
        <v>92</v>
      </c>
      <c r="E8" s="7">
        <v>48</v>
      </c>
      <c r="F8" s="3" t="s">
        <v>194</v>
      </c>
      <c r="G8" s="3" t="s">
        <v>195</v>
      </c>
    </row>
    <row r="9" spans="1:7">
      <c r="A9" s="3" t="s">
        <v>202</v>
      </c>
      <c r="B9" s="3" t="s">
        <v>137</v>
      </c>
      <c r="C9" s="3" t="s">
        <v>6</v>
      </c>
      <c r="D9" s="3" t="s">
        <v>44</v>
      </c>
      <c r="E9" s="7">
        <v>78</v>
      </c>
      <c r="F9" s="3" t="s">
        <v>203</v>
      </c>
      <c r="G9" s="3" t="s">
        <v>204</v>
      </c>
    </row>
    <row r="10" spans="1:7">
      <c r="A10" s="3" t="s">
        <v>205</v>
      </c>
      <c r="B10" s="3" t="s">
        <v>137</v>
      </c>
      <c r="C10" s="3" t="s">
        <v>6</v>
      </c>
      <c r="D10" s="3" t="s">
        <v>53</v>
      </c>
      <c r="E10" s="7">
        <v>72</v>
      </c>
      <c r="F10" s="3" t="s">
        <v>203</v>
      </c>
      <c r="G10" s="3" t="s">
        <v>204</v>
      </c>
    </row>
    <row r="11" spans="1:7">
      <c r="A11" s="3" t="s">
        <v>206</v>
      </c>
      <c r="B11" s="3" t="s">
        <v>137</v>
      </c>
      <c r="C11" s="3" t="s">
        <v>6</v>
      </c>
      <c r="D11" s="3" t="s">
        <v>61</v>
      </c>
      <c r="E11" s="7">
        <v>66</v>
      </c>
      <c r="F11" s="3" t="s">
        <v>203</v>
      </c>
      <c r="G11" s="3" t="s">
        <v>204</v>
      </c>
    </row>
    <row r="12" spans="1:7">
      <c r="A12" s="3" t="s">
        <v>207</v>
      </c>
      <c r="B12" s="3" t="s">
        <v>137</v>
      </c>
      <c r="C12" s="3" t="s">
        <v>6</v>
      </c>
      <c r="D12" s="3" t="s">
        <v>69</v>
      </c>
      <c r="E12" s="7">
        <v>68</v>
      </c>
      <c r="F12" s="3" t="s">
        <v>203</v>
      </c>
      <c r="G12" s="3" t="s">
        <v>204</v>
      </c>
    </row>
    <row r="13" spans="1:7">
      <c r="A13" s="3" t="s">
        <v>208</v>
      </c>
      <c r="B13" s="3" t="s">
        <v>137</v>
      </c>
      <c r="C13" s="3" t="s">
        <v>6</v>
      </c>
      <c r="D13" s="3" t="s">
        <v>77</v>
      </c>
      <c r="E13" s="7">
        <v>62</v>
      </c>
      <c r="F13" s="3" t="s">
        <v>203</v>
      </c>
      <c r="G13" s="3" t="s">
        <v>204</v>
      </c>
    </row>
    <row r="14" spans="1:7">
      <c r="A14" s="3" t="s">
        <v>209</v>
      </c>
      <c r="B14" s="3" t="s">
        <v>137</v>
      </c>
      <c r="C14" s="3" t="s">
        <v>6</v>
      </c>
      <c r="D14" s="3" t="s">
        <v>84</v>
      </c>
      <c r="E14" s="7">
        <v>54</v>
      </c>
      <c r="F14" s="3" t="s">
        <v>203</v>
      </c>
      <c r="G14" s="3" t="s">
        <v>204</v>
      </c>
    </row>
    <row r="15" spans="1:7">
      <c r="A15" s="3" t="s">
        <v>210</v>
      </c>
      <c r="B15" s="3" t="s">
        <v>137</v>
      </c>
      <c r="C15" s="3" t="s">
        <v>6</v>
      </c>
      <c r="D15" s="3" t="s">
        <v>92</v>
      </c>
      <c r="E15" s="7">
        <v>60</v>
      </c>
      <c r="F15" s="3" t="s">
        <v>203</v>
      </c>
      <c r="G15" s="3" t="s">
        <v>204</v>
      </c>
    </row>
    <row r="16" spans="1:7">
      <c r="A16" s="3" t="s">
        <v>211</v>
      </c>
      <c r="B16" s="3" t="s">
        <v>137</v>
      </c>
      <c r="C16" s="3" t="s">
        <v>7</v>
      </c>
      <c r="D16" s="3" t="s">
        <v>44</v>
      </c>
      <c r="E16" s="7">
        <v>58</v>
      </c>
      <c r="F16" s="3" t="s">
        <v>212</v>
      </c>
      <c r="G16" s="3" t="s">
        <v>213</v>
      </c>
    </row>
    <row r="17" spans="1:7">
      <c r="A17" s="3" t="s">
        <v>214</v>
      </c>
      <c r="B17" s="3" t="s">
        <v>137</v>
      </c>
      <c r="C17" s="3" t="s">
        <v>7</v>
      </c>
      <c r="D17" s="3" t="s">
        <v>53</v>
      </c>
      <c r="E17" s="7">
        <v>50</v>
      </c>
      <c r="F17" s="3" t="s">
        <v>212</v>
      </c>
      <c r="G17" s="3" t="s">
        <v>213</v>
      </c>
    </row>
    <row r="18" spans="1:7">
      <c r="A18" s="3" t="s">
        <v>215</v>
      </c>
      <c r="B18" s="3" t="s">
        <v>137</v>
      </c>
      <c r="C18" s="3" t="s">
        <v>7</v>
      </c>
      <c r="D18" s="3" t="s">
        <v>61</v>
      </c>
      <c r="E18" s="7">
        <v>56</v>
      </c>
      <c r="F18" s="3" t="s">
        <v>212</v>
      </c>
      <c r="G18" s="3" t="s">
        <v>213</v>
      </c>
    </row>
    <row r="19" spans="1:7">
      <c r="A19" s="3" t="s">
        <v>216</v>
      </c>
      <c r="B19" s="3" t="s">
        <v>137</v>
      </c>
      <c r="C19" s="3" t="s">
        <v>7</v>
      </c>
      <c r="D19" s="3" t="s">
        <v>69</v>
      </c>
      <c r="E19" s="7">
        <v>78</v>
      </c>
      <c r="F19" s="3" t="s">
        <v>212</v>
      </c>
      <c r="G19" s="3" t="s">
        <v>213</v>
      </c>
    </row>
    <row r="20" spans="1:7">
      <c r="A20" s="3" t="s">
        <v>217</v>
      </c>
      <c r="B20" s="3" t="s">
        <v>137</v>
      </c>
      <c r="C20" s="3" t="s">
        <v>7</v>
      </c>
      <c r="D20" s="3" t="s">
        <v>77</v>
      </c>
      <c r="E20" s="7">
        <v>84</v>
      </c>
      <c r="F20" s="3" t="s">
        <v>212</v>
      </c>
      <c r="G20" s="3" t="s">
        <v>213</v>
      </c>
    </row>
    <row r="21" spans="1:7">
      <c r="A21" s="3" t="s">
        <v>218</v>
      </c>
      <c r="B21" s="3" t="s">
        <v>137</v>
      </c>
      <c r="C21" s="3" t="s">
        <v>7</v>
      </c>
      <c r="D21" s="3" t="s">
        <v>84</v>
      </c>
      <c r="E21" s="7">
        <v>72</v>
      </c>
      <c r="F21" s="3" t="s">
        <v>212</v>
      </c>
      <c r="G21" s="3" t="s">
        <v>213</v>
      </c>
    </row>
    <row r="22" spans="1:7">
      <c r="A22" s="3" t="s">
        <v>219</v>
      </c>
      <c r="B22" s="3" t="s">
        <v>137</v>
      </c>
      <c r="C22" s="3" t="s">
        <v>7</v>
      </c>
      <c r="D22" s="3" t="s">
        <v>92</v>
      </c>
      <c r="E22" s="7">
        <v>66</v>
      </c>
      <c r="F22" s="3" t="s">
        <v>212</v>
      </c>
      <c r="G22" s="3" t="s">
        <v>213</v>
      </c>
    </row>
    <row r="23" spans="1:7">
      <c r="A23" s="3" t="s">
        <v>220</v>
      </c>
      <c r="B23" s="3" t="s">
        <v>162</v>
      </c>
      <c r="C23" s="3" t="s">
        <v>5</v>
      </c>
      <c r="D23" s="3" t="s">
        <v>44</v>
      </c>
      <c r="E23" s="7">
        <v>58</v>
      </c>
      <c r="F23" s="3" t="s">
        <v>194</v>
      </c>
      <c r="G23" s="3" t="s">
        <v>195</v>
      </c>
    </row>
    <row r="24" spans="1:7">
      <c r="A24" s="3" t="s">
        <v>221</v>
      </c>
      <c r="B24" s="3" t="s">
        <v>162</v>
      </c>
      <c r="C24" s="3" t="s">
        <v>5</v>
      </c>
      <c r="D24" s="3" t="s">
        <v>53</v>
      </c>
      <c r="E24" s="7">
        <v>54</v>
      </c>
      <c r="F24" s="3" t="s">
        <v>194</v>
      </c>
      <c r="G24" s="3" t="s">
        <v>195</v>
      </c>
    </row>
    <row r="25" spans="1:7">
      <c r="A25" s="3" t="s">
        <v>222</v>
      </c>
      <c r="B25" s="3" t="s">
        <v>162</v>
      </c>
      <c r="C25" s="3" t="s">
        <v>5</v>
      </c>
      <c r="D25" s="3" t="s">
        <v>61</v>
      </c>
      <c r="E25" s="7">
        <v>46</v>
      </c>
      <c r="F25" s="3" t="s">
        <v>194</v>
      </c>
      <c r="G25" s="3" t="s">
        <v>195</v>
      </c>
    </row>
    <row r="26" spans="1:7">
      <c r="A26" s="3" t="s">
        <v>223</v>
      </c>
      <c r="B26" s="3" t="s">
        <v>162</v>
      </c>
      <c r="C26" s="3" t="s">
        <v>5</v>
      </c>
      <c r="D26" s="3" t="s">
        <v>69</v>
      </c>
      <c r="E26" s="7">
        <v>56</v>
      </c>
      <c r="F26" s="3" t="s">
        <v>194</v>
      </c>
      <c r="G26" s="3" t="s">
        <v>195</v>
      </c>
    </row>
    <row r="27" spans="1:7">
      <c r="A27" s="3" t="s">
        <v>224</v>
      </c>
      <c r="B27" s="3" t="s">
        <v>162</v>
      </c>
      <c r="C27" s="3" t="s">
        <v>5</v>
      </c>
      <c r="D27" s="3" t="s">
        <v>77</v>
      </c>
      <c r="E27" s="7">
        <v>60</v>
      </c>
      <c r="F27" s="3" t="s">
        <v>194</v>
      </c>
      <c r="G27" s="3" t="s">
        <v>195</v>
      </c>
    </row>
    <row r="28" spans="1:7">
      <c r="A28" s="3" t="s">
        <v>225</v>
      </c>
      <c r="B28" s="3" t="s">
        <v>162</v>
      </c>
      <c r="C28" s="3" t="s">
        <v>5</v>
      </c>
      <c r="D28" s="3" t="s">
        <v>84</v>
      </c>
      <c r="E28" s="7">
        <v>48</v>
      </c>
      <c r="F28" s="3" t="s">
        <v>194</v>
      </c>
      <c r="G28" s="3" t="s">
        <v>195</v>
      </c>
    </row>
    <row r="29" spans="1:7">
      <c r="A29" s="3" t="s">
        <v>226</v>
      </c>
      <c r="B29" s="3" t="s">
        <v>162</v>
      </c>
      <c r="C29" s="3" t="s">
        <v>5</v>
      </c>
      <c r="D29" s="3" t="s">
        <v>92</v>
      </c>
      <c r="E29" s="7">
        <v>50</v>
      </c>
      <c r="F29" s="3" t="s">
        <v>194</v>
      </c>
      <c r="G29" s="3" t="s">
        <v>195</v>
      </c>
    </row>
    <row r="30" spans="1:7">
      <c r="A30" s="3" t="s">
        <v>227</v>
      </c>
      <c r="B30" s="3" t="s">
        <v>162</v>
      </c>
      <c r="C30" s="3" t="s">
        <v>8</v>
      </c>
      <c r="D30" s="3" t="s">
        <v>44</v>
      </c>
      <c r="E30" s="7">
        <v>74</v>
      </c>
      <c r="F30" s="3" t="s">
        <v>228</v>
      </c>
      <c r="G30" s="3" t="s">
        <v>229</v>
      </c>
    </row>
    <row r="31" spans="1:7">
      <c r="A31" s="3" t="s">
        <v>230</v>
      </c>
      <c r="B31" s="3" t="s">
        <v>162</v>
      </c>
      <c r="C31" s="3" t="s">
        <v>8</v>
      </c>
      <c r="D31" s="3" t="s">
        <v>53</v>
      </c>
      <c r="E31" s="7">
        <v>68</v>
      </c>
      <c r="F31" s="3" t="s">
        <v>228</v>
      </c>
      <c r="G31" s="3" t="s">
        <v>229</v>
      </c>
    </row>
    <row r="32" spans="1:7">
      <c r="A32" s="3" t="s">
        <v>231</v>
      </c>
      <c r="B32" s="3" t="s">
        <v>162</v>
      </c>
      <c r="C32" s="3" t="s">
        <v>8</v>
      </c>
      <c r="D32" s="3" t="s">
        <v>61</v>
      </c>
      <c r="E32" s="7">
        <v>54</v>
      </c>
      <c r="F32" s="3" t="s">
        <v>228</v>
      </c>
      <c r="G32" s="3" t="s">
        <v>229</v>
      </c>
    </row>
    <row r="33" spans="1:7">
      <c r="A33" s="3" t="s">
        <v>232</v>
      </c>
      <c r="B33" s="3" t="s">
        <v>162</v>
      </c>
      <c r="C33" s="3" t="s">
        <v>8</v>
      </c>
      <c r="D33" s="3" t="s">
        <v>69</v>
      </c>
      <c r="E33" s="7">
        <v>72</v>
      </c>
      <c r="F33" s="3" t="s">
        <v>228</v>
      </c>
      <c r="G33" s="3" t="s">
        <v>229</v>
      </c>
    </row>
    <row r="34" spans="1:7">
      <c r="A34" s="3" t="s">
        <v>233</v>
      </c>
      <c r="B34" s="3" t="s">
        <v>162</v>
      </c>
      <c r="C34" s="3" t="s">
        <v>8</v>
      </c>
      <c r="D34" s="3" t="s">
        <v>77</v>
      </c>
      <c r="E34" s="7">
        <v>70</v>
      </c>
      <c r="F34" s="3" t="s">
        <v>228</v>
      </c>
      <c r="G34" s="3" t="s">
        <v>229</v>
      </c>
    </row>
    <row r="35" spans="1:7">
      <c r="A35" s="3" t="s">
        <v>234</v>
      </c>
      <c r="B35" s="3" t="s">
        <v>162</v>
      </c>
      <c r="C35" s="3" t="s">
        <v>8</v>
      </c>
      <c r="D35" s="3" t="s">
        <v>84</v>
      </c>
      <c r="E35" s="7">
        <v>58</v>
      </c>
      <c r="F35" s="3" t="s">
        <v>228</v>
      </c>
      <c r="G35" s="3" t="s">
        <v>229</v>
      </c>
    </row>
    <row r="36" spans="1:7">
      <c r="A36" s="3" t="s">
        <v>235</v>
      </c>
      <c r="B36" s="3" t="s">
        <v>162</v>
      </c>
      <c r="C36" s="3" t="s">
        <v>8</v>
      </c>
      <c r="D36" s="3" t="s">
        <v>92</v>
      </c>
      <c r="E36" s="7">
        <v>52</v>
      </c>
      <c r="F36" s="3" t="s">
        <v>228</v>
      </c>
      <c r="G36" s="3" t="s">
        <v>229</v>
      </c>
    </row>
    <row r="37" spans="1:7">
      <c r="A37" s="3" t="s">
        <v>236</v>
      </c>
      <c r="B37" s="3" t="s">
        <v>162</v>
      </c>
      <c r="C37" s="3" t="s">
        <v>7</v>
      </c>
      <c r="D37" s="3" t="s">
        <v>44</v>
      </c>
      <c r="E37" s="7">
        <v>60</v>
      </c>
      <c r="F37" s="3" t="s">
        <v>212</v>
      </c>
      <c r="G37" s="3" t="s">
        <v>237</v>
      </c>
    </row>
    <row r="38" spans="1:7">
      <c r="A38" s="3" t="s">
        <v>238</v>
      </c>
      <c r="B38" s="3" t="s">
        <v>162</v>
      </c>
      <c r="C38" s="3" t="s">
        <v>7</v>
      </c>
      <c r="D38" s="3" t="s">
        <v>53</v>
      </c>
      <c r="E38" s="7">
        <v>48</v>
      </c>
      <c r="F38" s="3" t="s">
        <v>212</v>
      </c>
      <c r="G38" s="3" t="s">
        <v>237</v>
      </c>
    </row>
    <row r="39" spans="1:7">
      <c r="A39" s="3" t="s">
        <v>239</v>
      </c>
      <c r="B39" s="3" t="s">
        <v>162</v>
      </c>
      <c r="C39" s="3" t="s">
        <v>7</v>
      </c>
      <c r="D39" s="3" t="s">
        <v>61</v>
      </c>
      <c r="E39" s="7">
        <v>58</v>
      </c>
      <c r="F39" s="3" t="s">
        <v>212</v>
      </c>
      <c r="G39" s="3" t="s">
        <v>237</v>
      </c>
    </row>
    <row r="40" spans="1:7">
      <c r="A40" s="3" t="s">
        <v>240</v>
      </c>
      <c r="B40" s="3" t="s">
        <v>162</v>
      </c>
      <c r="C40" s="3" t="s">
        <v>7</v>
      </c>
      <c r="D40" s="3" t="s">
        <v>69</v>
      </c>
      <c r="E40" s="7">
        <v>80</v>
      </c>
      <c r="F40" s="3" t="s">
        <v>212</v>
      </c>
      <c r="G40" s="3" t="s">
        <v>237</v>
      </c>
    </row>
    <row r="41" spans="1:7">
      <c r="A41" s="3" t="s">
        <v>241</v>
      </c>
      <c r="B41" s="3" t="s">
        <v>162</v>
      </c>
      <c r="C41" s="3" t="s">
        <v>7</v>
      </c>
      <c r="D41" s="3" t="s">
        <v>77</v>
      </c>
      <c r="E41" s="7">
        <v>86</v>
      </c>
      <c r="F41" s="3" t="s">
        <v>212</v>
      </c>
      <c r="G41" s="3" t="s">
        <v>237</v>
      </c>
    </row>
    <row r="42" spans="1:7">
      <c r="A42" s="3" t="s">
        <v>242</v>
      </c>
      <c r="B42" s="3" t="s">
        <v>162</v>
      </c>
      <c r="C42" s="3" t="s">
        <v>7</v>
      </c>
      <c r="D42" s="3" t="s">
        <v>84</v>
      </c>
      <c r="E42" s="7">
        <v>74</v>
      </c>
      <c r="F42" s="3" t="s">
        <v>212</v>
      </c>
      <c r="G42" s="3" t="s">
        <v>237</v>
      </c>
    </row>
    <row r="43" spans="1:7">
      <c r="A43" s="3" t="s">
        <v>243</v>
      </c>
      <c r="B43" s="3" t="s">
        <v>162</v>
      </c>
      <c r="C43" s="3" t="s">
        <v>7</v>
      </c>
      <c r="D43" s="3" t="s">
        <v>92</v>
      </c>
      <c r="E43" s="7">
        <v>66</v>
      </c>
      <c r="F43" s="3" t="s">
        <v>212</v>
      </c>
      <c r="G43" s="3" t="s">
        <v>237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I17"/>
  <sheetViews>
    <sheetView workbookViewId="0">
      <pane ySplit="10" topLeftCell="A11" activePane="bottomLeft" state="frozen"/>
      <selection pane="bottomLeft"/>
    </sheetView>
  </sheetViews>
  <sheetFormatPr defaultRowHeight="15"/>
  <cols>
    <col min="1" max="1" width="22.7109375" customWidth="1"/>
    <col min="2" max="2" width="18.7109375" customWidth="1"/>
    <col min="3" max="3" width="38.7109375" customWidth="1"/>
    <col min="4" max="5" width="14.7109375" customWidth="1"/>
    <col min="6" max="6" width="34.7109375" customWidth="1"/>
    <col min="7" max="7" width="22.7109375" customWidth="1"/>
    <col min="8" max="8" width="24.7109375" customWidth="1"/>
    <col min="9" max="9" width="28.7109375" customWidth="1"/>
    <col min="10" max="10" width="36.7109375" customWidth="1"/>
  </cols>
  <sheetData>
    <row r="1" spans="1:9">
      <c r="A1" s="1" t="s">
        <v>244</v>
      </c>
    </row>
    <row r="2" spans="1:9">
      <c r="F2" t="str">
        <f>IF(B5="United States","us","india")</f>
        <v>us</v>
      </c>
    </row>
    <row r="3" spans="1:9">
      <c r="A3" s="3" t="s">
        <v>245</v>
      </c>
      <c r="F3" t="str">
        <f>INDEX(StateKeyRange,MATCH(B6,StateNameRange,0))</f>
        <v>california</v>
      </c>
    </row>
    <row r="4" spans="1:9">
      <c r="F4" t="str">
        <f>IF(B8="use_state_default",INDEX(StateDefaultPresetRange,MATCH(F3,StateKeyRange,0)),B8)</f>
        <v>affordabilityFirst</v>
      </c>
    </row>
    <row r="5" spans="1:9">
      <c r="A5" s="8" t="s">
        <v>246</v>
      </c>
      <c r="B5" s="7" t="s">
        <v>0</v>
      </c>
      <c r="E5" s="9" t="s">
        <v>249</v>
      </c>
      <c r="F5" t="str">
        <f>INDEX(HeadlineRange,MATCH(F3,StateKeyRange,0))</f>
        <v>High-rate state where distribution cost and grid reuse matter as much as cleaner supply.</v>
      </c>
      <c r="H5" s="2" t="s">
        <v>265</v>
      </c>
    </row>
    <row r="6" spans="1:9">
      <c r="A6" s="8" t="s">
        <v>247</v>
      </c>
      <c r="B6" s="7" t="s">
        <v>9</v>
      </c>
      <c r="E6" s="9" t="s">
        <v>250</v>
      </c>
      <c r="F6" t="str">
        <f>INDEX(BlendNoteRange,MATCH(F3,StateKeyRange,0))</f>
        <v>California North and California South from EIA AEO Table 54 are blended using 2025 regional sales weights, then scaled to California's actual 2025 state retail price.</v>
      </c>
      <c r="H6" s="8" t="s">
        <v>266</v>
      </c>
      <c r="I6" s="3" t="str">
        <f>IF($F$2="us",TEXT(Model_StartRate,"0.0")&amp;" c/kWh","Rs "&amp;TEXT(Model_StartRate,"0.00")&amp;"/kWh")</f>
        <v>27.6 c/kWh</v>
      </c>
    </row>
    <row r="7" spans="1:9">
      <c r="A7" s="8" t="s">
        <v>248</v>
      </c>
      <c r="B7" s="7" t="s">
        <v>2</v>
      </c>
      <c r="E7" s="9" t="s">
        <v>251</v>
      </c>
      <c r="H7" s="8" t="s">
        <v>267</v>
      </c>
      <c r="I7" s="3" t="str">
        <f>IF($F$2="us",TEXT(Model_Baseline2035,"0.0")&amp;" c/kWh","Rs "&amp;TEXT(Model_Baseline2035,"0.00")&amp;"/kWh")</f>
        <v>29.5 c/kWh</v>
      </c>
    </row>
    <row r="8" spans="1:9">
      <c r="A8" s="8" t="s">
        <v>2</v>
      </c>
      <c r="B8" s="7" t="s">
        <v>4</v>
      </c>
      <c r="E8" s="9" t="s">
        <v>252</v>
      </c>
      <c r="F8" s="9"/>
      <c r="H8" s="8" t="s">
        <v>268</v>
      </c>
      <c r="I8" s="3" t="str">
        <f>IF($F$2="us",TEXT(Model_Strategy2035,"0.0")&amp;" c/kWh","Rs "&amp;TEXT(Model_Strategy2035,"0.00")&amp;"/kWh")</f>
        <v>21.1 c/kWh</v>
      </c>
    </row>
    <row r="9" spans="1:9">
      <c r="H9" s="8" t="s">
        <v>269</v>
      </c>
      <c r="I9" s="3" t="str">
        <f>IF($F$2="us","$"&amp;TEXT(Model_AnnualSavings,"0.0")&amp;"B/yr","Rs "&amp;TEXT(Model_AnnualSavings,"0.00")&amp;" lakh cr/yr")</f>
        <v>$23.4B/yr</v>
      </c>
    </row>
    <row r="10" spans="1:9">
      <c r="A10" s="4" t="s">
        <v>35</v>
      </c>
      <c r="B10" s="4" t="s">
        <v>36</v>
      </c>
      <c r="C10" s="4" t="s">
        <v>253</v>
      </c>
      <c r="D10" s="4" t="s">
        <v>254</v>
      </c>
      <c r="E10" s="4" t="s">
        <v>255</v>
      </c>
      <c r="F10" s="4" t="s">
        <v>256</v>
      </c>
      <c r="G10" s="4" t="s">
        <v>257</v>
      </c>
      <c r="H10" s="8" t="s">
        <v>270</v>
      </c>
      <c r="I10" s="3" t="str">
        <f>TEXT(Model_StrategyCleanShare,"0%")</f>
        <v>94%</v>
      </c>
    </row>
    <row r="11" spans="1:9">
      <c r="A11" s="10" t="s">
        <v>44</v>
      </c>
      <c r="B11" t="str">
        <f>INDEX(LeverCategoryRange,MATCH(A11,LeverKeyRange,0))</f>
        <v>Generation</v>
      </c>
      <c r="C11" t="str">
        <f>INDEX(LeverLabelRange,MATCH(A11,LeverKeyRange,0))</f>
        <v>Solar + storage instead of gas and coal</v>
      </c>
      <c r="D11" s="7">
        <v>78</v>
      </c>
      <c r="E11" s="11">
        <f>IF($B$7="Preset",INDEX(PresetValueRange,MATCH($F$2&amp;"|"&amp;$F$4&amp;"|"&amp;A11,PresetLookupKeyRange,0)),D11)</f>
        <v>78</v>
      </c>
      <c r="F11" s="11" t="str">
        <f>IF(E11&lt;=0,"Off",IF(E11&lt;=25,"Early moves",IF(E11&lt;=50,"Focused build-out",IF(E11&lt;=75,"Strong build-out",IF(E11&lt;100,"Aggressive build-out","Full practical capture")))))</f>
        <v>Focused build-out</v>
      </c>
      <c r="G11" s="3" t="s">
        <v>258</v>
      </c>
      <c r="H11" s="8" t="s">
        <v>271</v>
      </c>
      <c r="I11" s="3" t="str">
        <f>TEXT(Model_StrategyEmissions,"0.0")&amp;" Mt"</f>
        <v>5.5 Mt</v>
      </c>
    </row>
    <row r="12" spans="1:9">
      <c r="A12" s="10" t="s">
        <v>53</v>
      </c>
      <c r="B12" t="str">
        <f>INDEX(LeverCategoryRange,MATCH(A12,LeverKeyRange,0))</f>
        <v>Generation</v>
      </c>
      <c r="C12" t="str">
        <f>INDEX(LeverLabelRange,MATCH(A12,LeverKeyRange,0))</f>
        <v>Lower solar cost through streamlining and competition</v>
      </c>
      <c r="D12" s="7">
        <v>72</v>
      </c>
      <c r="E12" s="11">
        <f>IF($B$7="Preset",INDEX(PresetValueRange,MATCH($F$2&amp;"|"&amp;$F$4&amp;"|"&amp;A12,PresetLookupKeyRange,0)),D12)</f>
        <v>72</v>
      </c>
      <c r="F12" s="11" t="str">
        <f>IF(E12&lt;=0,"Off",IF(E12&lt;=25,"Early moves",IF(E12&lt;=50,"Focused build-out",IF(E12&lt;=75,"Strong build-out",IF(E12&lt;100,"Aggressive build-out","Full practical capture")))))</f>
        <v>Focused build-out</v>
      </c>
      <c r="G12" s="3" t="s">
        <v>259</v>
      </c>
    </row>
    <row r="13" spans="1:9">
      <c r="A13" s="10" t="s">
        <v>61</v>
      </c>
      <c r="B13" t="str">
        <f>INDEX(LeverCategoryRange,MATCH(A13,LeverKeyRange,0))</f>
        <v>Generation</v>
      </c>
      <c r="C13" t="str">
        <f>INDEX(LeverLabelRange,MATCH(A13,LeverKeyRange,0))</f>
        <v>VPPs or demand response instead of peakers</v>
      </c>
      <c r="D13" s="7">
        <v>66</v>
      </c>
      <c r="E13" s="11">
        <f>IF($B$7="Preset",INDEX(PresetValueRange,MATCH($F$2&amp;"|"&amp;$F$4&amp;"|"&amp;A13,PresetLookupKeyRange,0)),D13)</f>
        <v>66</v>
      </c>
      <c r="F13" s="11" t="str">
        <f>IF(E13&lt;=0,"Off",IF(E13&lt;=25,"Early moves",IF(E13&lt;=50,"Focused build-out",IF(E13&lt;=75,"Strong build-out",IF(E13&lt;100,"Aggressive build-out","Full practical capture")))))</f>
        <v>Focused build-out</v>
      </c>
      <c r="G13" s="3" t="s">
        <v>260</v>
      </c>
      <c r="H13" s="2" t="s">
        <v>364</v>
      </c>
    </row>
    <row r="14" spans="1:9">
      <c r="A14" s="10" t="s">
        <v>69</v>
      </c>
      <c r="B14" t="str">
        <f>INDEX(LeverCategoryRange,MATCH(A14,LeverKeyRange,0))</f>
        <v>Transmission</v>
      </c>
      <c r="C14" t="str">
        <f>INDEX(LeverLabelRange,MATCH(A14,LeverKeyRange,0))</f>
        <v>Surplus interconnection at underused sites</v>
      </c>
      <c r="D14" s="7">
        <v>68</v>
      </c>
      <c r="E14" s="11">
        <f>IF($B$7="Preset",INDEX(PresetValueRange,MATCH($F$2&amp;"|"&amp;$F$4&amp;"|"&amp;A14,PresetLookupKeyRange,0)),D14)</f>
        <v>68</v>
      </c>
      <c r="F14" s="11" t="str">
        <f>IF(E14&lt;=0,"Off",IF(E14&lt;=25,"Early moves",IF(E14&lt;=50,"Focused build-out",IF(E14&lt;=75,"Strong build-out",IF(E14&lt;100,"Aggressive build-out","Full practical capture")))))</f>
        <v>Focused build-out</v>
      </c>
      <c r="G14" s="3" t="s">
        <v>261</v>
      </c>
      <c r="H14" s="12" t="s">
        <v>365</v>
      </c>
    </row>
    <row r="15" spans="1:9">
      <c r="A15" s="10" t="s">
        <v>77</v>
      </c>
      <c r="B15" t="str">
        <f>INDEX(LeverCategoryRange,MATCH(A15,LeverKeyRange,0))</f>
        <v>Transmission</v>
      </c>
      <c r="C15" t="str">
        <f>INDEX(LeverLabelRange,MATCH(A15,LeverKeyRange,0))</f>
        <v>Reconductoring to double transfer capacity</v>
      </c>
      <c r="D15" s="7">
        <v>62</v>
      </c>
      <c r="E15" s="11">
        <f>IF($B$7="Preset",INDEX(PresetValueRange,MATCH($F$2&amp;"|"&amp;$F$4&amp;"|"&amp;A15,PresetLookupKeyRange,0)),D15)</f>
        <v>62</v>
      </c>
      <c r="F15" s="11" t="str">
        <f>IF(E15&lt;=0,"Off",IF(E15&lt;=25,"Early moves",IF(E15&lt;=50,"Focused build-out",IF(E15&lt;=75,"Strong build-out",IF(E15&lt;100,"Aggressive build-out","Full practical capture")))))</f>
        <v>Focused build-out</v>
      </c>
      <c r="G15" s="3" t="s">
        <v>262</v>
      </c>
    </row>
    <row r="16" spans="1:9">
      <c r="A16" s="10" t="s">
        <v>84</v>
      </c>
      <c r="B16" t="str">
        <f>INDEX(LeverCategoryRange,MATCH(A16,LeverKeyRange,0))</f>
        <v>Transmission</v>
      </c>
      <c r="C16" t="str">
        <f>INDEX(LeverLabelRange,MATCH(A16,LeverKeyRange,0))</f>
        <v>Strategic placement of storage to improve transmission utilization</v>
      </c>
      <c r="D16" s="7">
        <v>54</v>
      </c>
      <c r="E16" s="11">
        <f>IF($B$7="Preset",INDEX(PresetValueRange,MATCH($F$2&amp;"|"&amp;$F$4&amp;"|"&amp;A16,PresetLookupKeyRange,0)),D16)</f>
        <v>54</v>
      </c>
      <c r="F16" s="11" t="str">
        <f>IF(E16&lt;=0,"Off",IF(E16&lt;=25,"Early moves",IF(E16&lt;=50,"Focused build-out",IF(E16&lt;=75,"Strong build-out",IF(E16&lt;100,"Aggressive build-out","Full practical capture")))))</f>
        <v>Focused build-out</v>
      </c>
      <c r="G16" s="3" t="s">
        <v>263</v>
      </c>
    </row>
    <row r="17" spans="1:7">
      <c r="A17" s="10" t="s">
        <v>92</v>
      </c>
      <c r="B17" t="str">
        <f>INDEX(LeverCategoryRange,MATCH(A17,LeverKeyRange,0))</f>
        <v>Distribution</v>
      </c>
      <c r="C17" t="str">
        <f>INDEX(LeverLabelRange,MATCH(A17,LeverKeyRange,0))</f>
        <v>Improve distribution utilization with off-peak EVs and flexible load</v>
      </c>
      <c r="D17" s="7">
        <v>60</v>
      </c>
      <c r="E17" s="11">
        <f>IF($B$7="Preset",INDEX(PresetValueRange,MATCH($F$2&amp;"|"&amp;$F$4&amp;"|"&amp;A17,PresetLookupKeyRange,0)),D17)</f>
        <v>60</v>
      </c>
      <c r="F17" s="11" t="str">
        <f>IF(E17&lt;=0,"Off",IF(E17&lt;=25,"Early moves",IF(E17&lt;=50,"Focused build-out",IF(E17&lt;=75,"Strong build-out",IF(E17&lt;100,"Aggressive build-out","Full practical capture")))))</f>
        <v>Focused build-out</v>
      </c>
      <c r="G17" s="3" t="s">
        <v>264</v>
      </c>
    </row>
  </sheetData>
  <dataValidations count="4">
    <dataValidation type="list" allowBlank="1" showInputMessage="1" showErrorMessage="1" sqref="B5">
      <formula1>CountryList</formula1>
    </dataValidation>
    <dataValidation type="list" allowBlank="1" showInputMessage="1" showErrorMessage="1" sqref="B6">
      <formula1>INDIRECT("StateList_"&amp;$F$2)</formula1>
    </dataValidation>
    <dataValidation type="list" allowBlank="1" showInputMessage="1" showErrorMessage="1" sqref="B7">
      <formula1>ModeList</formula1>
    </dataValidation>
    <dataValidation type="list" allowBlank="1" showInputMessage="1" showErrorMessage="1" sqref="B8">
      <formula1>INDIRECT("PresetList_"&amp;$F$2)</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U91"/>
  <sheetViews>
    <sheetView workbookViewId="0">
      <pane ySplit="12" topLeftCell="A13" activePane="bottomLeft" state="frozen"/>
      <selection pane="bottomLeft"/>
    </sheetView>
  </sheetViews>
  <sheetFormatPr defaultRowHeight="15"/>
  <cols>
    <col min="1" max="1" width="26.7109375" customWidth="1"/>
    <col min="2" max="2" width="18.7109375" customWidth="1"/>
    <col min="3" max="3" width="24.7109375" customWidth="1"/>
    <col min="4" max="21" width="14.7109375" customWidth="1"/>
  </cols>
  <sheetData>
    <row r="1" spans="1:11">
      <c r="A1" s="1" t="s">
        <v>272</v>
      </c>
    </row>
    <row r="3" spans="1:11">
      <c r="A3" s="3" t="s">
        <v>273</v>
      </c>
    </row>
    <row r="5" spans="1:11">
      <c r="A5" s="2" t="s">
        <v>274</v>
      </c>
    </row>
    <row r="6" spans="1:11">
      <c r="A6" s="8" t="s">
        <v>246</v>
      </c>
      <c r="B6" t="str">
        <f>Inputs!B5</f>
        <v>United States</v>
      </c>
    </row>
    <row r="7" spans="1:11">
      <c r="A7" s="8" t="s">
        <v>247</v>
      </c>
      <c r="B7" t="str">
        <f>Inputs!B6</f>
        <v>California</v>
      </c>
    </row>
    <row r="8" spans="1:11">
      <c r="A8" s="8" t="s">
        <v>275</v>
      </c>
      <c r="B8" t="str">
        <f>Inputs!F3</f>
        <v>california</v>
      </c>
    </row>
    <row r="9" spans="1:11">
      <c r="A9" s="8" t="s">
        <v>251</v>
      </c>
      <c r="B9" t="str">
        <f>Inputs!F4</f>
        <v>affordabilityFirst</v>
      </c>
    </row>
    <row r="10" spans="1:11">
      <c r="A10" s="8" t="s">
        <v>276</v>
      </c>
      <c r="B10" t="str">
        <f>INDEX(RateUnitsRange,MATCH(B8,StateKeyRange,0))</f>
        <v>c/kWh</v>
      </c>
    </row>
    <row r="11" spans="1:11">
      <c r="A11" s="8" t="s">
        <v>277</v>
      </c>
      <c r="B11" t="str">
        <f>INDEX(AnnualUnitsRange,MATCH(B8,StateKeyRange,0))</f>
        <v>$B/yr</v>
      </c>
    </row>
    <row r="13" spans="1:11">
      <c r="A13" s="2" t="s">
        <v>278</v>
      </c>
      <c r="D13" s="2" t="s">
        <v>310</v>
      </c>
    </row>
    <row r="14" spans="1:11">
      <c r="A14" s="8" t="s">
        <v>279</v>
      </c>
      <c r="B14" s="3" t="str">
        <f>INDEX(StateCountryLabelRange,MATCH(B8,StateKeyRange,0))</f>
        <v>United States</v>
      </c>
      <c r="E14" s="4" t="s">
        <v>311</v>
      </c>
      <c r="F14" s="4" t="s">
        <v>312</v>
      </c>
      <c r="G14" s="4" t="s">
        <v>313</v>
      </c>
      <c r="H14" s="4" t="s">
        <v>314</v>
      </c>
      <c r="I14" s="4" t="s">
        <v>315</v>
      </c>
      <c r="J14" s="4" t="s">
        <v>267</v>
      </c>
      <c r="K14" s="4" t="s">
        <v>268</v>
      </c>
    </row>
    <row r="15" spans="1:11">
      <c r="A15" s="8" t="s">
        <v>280</v>
      </c>
      <c r="B15" s="3" t="str">
        <f>INDEX(StateDefaultPresetRange,MATCH(B8,StateKeyRange,0))</f>
        <v>affordabilityFirst</v>
      </c>
      <c r="D15" s="8" t="s">
        <v>45</v>
      </c>
      <c r="E15" s="13">
        <f>B23</f>
        <v>14.744</v>
      </c>
      <c r="F15" s="13">
        <f>B27</f>
        <v>11.903</v>
      </c>
      <c r="G15" s="13">
        <f>B31</f>
        <v>12.708</v>
      </c>
      <c r="H15" s="13">
        <f>B27 + B23*B35*0.72*(1+0.45*B47)</f>
        <v>13.206928930122851</v>
      </c>
      <c r="I15" s="13">
        <f>MAX(B31*0.64, B31 + B23*B35*0.94*(1+0.45*B48) - B49)</f>
        <v>12.749647495182483</v>
      </c>
      <c r="J15" s="13">
        <f>IF(I18&gt;B51,MAX(B31*0.58,I15-B52),I15)</f>
        <v>10.906127702442834</v>
      </c>
      <c r="K15" s="13">
        <f>J15-SUM(Q66:Q72)</f>
        <v>7.427964219537381</v>
      </c>
    </row>
    <row r="16" spans="1:11">
      <c r="A16" s="8" t="s">
        <v>281</v>
      </c>
      <c r="B16" s="13" t="str">
        <f>INDEX(SalesAnchorYearRange,MATCH(B8,StateKeyRange,0))</f>
        <v>2025 observed</v>
      </c>
      <c r="D16" s="8" t="s">
        <v>70</v>
      </c>
      <c r="E16" s="13">
        <f>B24</f>
        <v>2.503</v>
      </c>
      <c r="F16" s="13">
        <f>B28</f>
        <v>2.764</v>
      </c>
      <c r="G16" s="13">
        <f>B32</f>
        <v>2.878</v>
      </c>
      <c r="H16" s="13">
        <f>B28 + B24*B36*0.72*(1+0.65*B47)</f>
        <v>3.2112544896314494</v>
      </c>
      <c r="I16" s="13">
        <f>B32 + B24*B36*0.94*(1+0.65*B48)</f>
        <v>3.5394601365693434</v>
      </c>
      <c r="J16" s="13">
        <f>I16</f>
        <v>3.5394601365693434</v>
      </c>
      <c r="K16" s="13">
        <f>J16-SUM(R66:R72)</f>
        <v>2.184391900219436</v>
      </c>
    </row>
    <row r="17" spans="1:11">
      <c r="A17" s="8" t="s">
        <v>282</v>
      </c>
      <c r="B17" s="11">
        <f>INDEX(ResidentialCustomersRange,MATCH(B8,StateKeyRange,0))</f>
        <v>14.2</v>
      </c>
      <c r="D17" s="8" t="s">
        <v>93</v>
      </c>
      <c r="E17" s="13">
        <f>B25</f>
        <v>10.379</v>
      </c>
      <c r="F17" s="13">
        <f>B29</f>
        <v>10.939</v>
      </c>
      <c r="G17" s="13">
        <f>B33</f>
        <v>11.326</v>
      </c>
      <c r="H17" s="13">
        <f>B29 + B25*B37*0.72*(1+0.75*B47)</f>
        <v>13.424329328746929</v>
      </c>
      <c r="I17" s="13">
        <f>B33 + B25*B37*0.94*(1+0.75*B48)</f>
        <v>15.065424909489051</v>
      </c>
      <c r="J17" s="13">
        <f>I17</f>
        <v>15.065424909489051</v>
      </c>
      <c r="K17" s="13">
        <f>J17-SUM(S66:S72)</f>
        <v>11.455079144107208</v>
      </c>
    </row>
    <row r="18" spans="1:11">
      <c r="A18" s="8" t="s">
        <v>283</v>
      </c>
      <c r="B18" s="13">
        <f>INDEX(Sales2025Range,MATCH(B8,StateKeyRange,0))</f>
        <v>238</v>
      </c>
      <c r="D18" s="8" t="s">
        <v>316</v>
      </c>
      <c r="E18" s="13">
        <f>B26</f>
        <v>27.625</v>
      </c>
      <c r="F18" s="13">
        <f>B30</f>
        <v>25.605</v>
      </c>
      <c r="G18" s="13">
        <f>B34</f>
        <v>26.912</v>
      </c>
      <c r="H18" s="13">
        <f>SUM(H15:H17)</f>
        <v>29.84251274850123</v>
      </c>
      <c r="I18" s="13">
        <f>SUM(I15:I17)</f>
        <v>31.35453254124088</v>
      </c>
      <c r="J18" s="13">
        <f>SUM(J15:J17)</f>
        <v>29.51101274850123</v>
      </c>
      <c r="K18" s="13">
        <f>SUM(K15:K17)</f>
        <v>21.067435263864027</v>
      </c>
    </row>
    <row r="19" spans="1:11">
      <c r="A19" s="8" t="s">
        <v>284</v>
      </c>
      <c r="B19" s="13">
        <f>INDEX(Sales2030Range,MATCH(B8,StateKeyRange,0))</f>
        <v>244.2</v>
      </c>
      <c r="D19" s="8" t="s">
        <v>317</v>
      </c>
      <c r="E19" s="13">
        <f>B18</f>
        <v>238</v>
      </c>
      <c r="F19" s="13">
        <f>B19</f>
        <v>244.2</v>
      </c>
      <c r="G19" s="13">
        <f>B20</f>
        <v>219.2</v>
      </c>
      <c r="H19" s="13">
        <f>B45</f>
        <v>257</v>
      </c>
      <c r="I19" s="13">
        <f>B46</f>
        <v>277</v>
      </c>
      <c r="J19" s="13">
        <f>B46</f>
        <v>277</v>
      </c>
      <c r="K19" s="13">
        <f>J19</f>
        <v>277</v>
      </c>
    </row>
    <row r="20" spans="1:11">
      <c r="A20" s="8" t="s">
        <v>285</v>
      </c>
      <c r="B20" s="13">
        <f>INDEX(Sales2035Range,MATCH(B8,StateKeyRange,0))</f>
        <v>219.2</v>
      </c>
    </row>
    <row r="21" spans="1:11">
      <c r="A21" s="8" t="s">
        <v>286</v>
      </c>
      <c r="B21" s="13">
        <f>INDEX(SalesStress2030Range,MATCH(B8,StateKeyRange,0))</f>
        <v>257</v>
      </c>
    </row>
    <row r="22" spans="1:11">
      <c r="A22" s="8" t="s">
        <v>287</v>
      </c>
      <c r="B22" s="13">
        <f>INDEX(SalesStress2035Range,MATCH(B8,StateKeyRange,0))</f>
        <v>277</v>
      </c>
    </row>
    <row r="23" spans="1:11">
      <c r="A23" s="8" t="s">
        <v>288</v>
      </c>
      <c r="B23" s="13">
        <f>INDEX(Cost2025GenRange,MATCH(B8,StateKeyRange,0))</f>
        <v>14.744</v>
      </c>
    </row>
    <row r="24" spans="1:11">
      <c r="A24" s="8" t="s">
        <v>289</v>
      </c>
      <c r="B24" s="13">
        <f>INDEX(Cost2025TxRange,MATCH(B8,StateKeyRange,0))</f>
        <v>2.503</v>
      </c>
    </row>
    <row r="25" spans="1:11">
      <c r="A25" s="8" t="s">
        <v>290</v>
      </c>
      <c r="B25" s="13">
        <f>INDEX(Cost2025DistRange,MATCH(B8,StateKeyRange,0))</f>
        <v>10.379</v>
      </c>
    </row>
    <row r="26" spans="1:11">
      <c r="A26" s="8" t="s">
        <v>291</v>
      </c>
      <c r="B26" s="13">
        <f>INDEX(Cost2025TotalRange,MATCH(B8,StateKeyRange,0))</f>
        <v>27.625</v>
      </c>
    </row>
    <row r="27" spans="1:11">
      <c r="A27" s="8" t="s">
        <v>292</v>
      </c>
      <c r="B27" s="13">
        <f>INDEX(Cost2030GenRange,MATCH(B8,StateKeyRange,0))</f>
        <v>11.903</v>
      </c>
    </row>
    <row r="28" spans="1:11">
      <c r="A28" s="8" t="s">
        <v>293</v>
      </c>
      <c r="B28" s="13">
        <f>INDEX(Cost2030TxRange,MATCH(B8,StateKeyRange,0))</f>
        <v>2.764</v>
      </c>
    </row>
    <row r="29" spans="1:11">
      <c r="A29" s="8" t="s">
        <v>294</v>
      </c>
      <c r="B29" s="13">
        <f>INDEX(Cost2030DistRange,MATCH(B8,StateKeyRange,0))</f>
        <v>10.939</v>
      </c>
    </row>
    <row r="30" spans="1:11">
      <c r="A30" s="8" t="s">
        <v>295</v>
      </c>
      <c r="B30" s="13">
        <f>INDEX(Cost2030TotalRange,MATCH(B8,StateKeyRange,0))</f>
        <v>25.605</v>
      </c>
    </row>
    <row r="31" spans="1:11">
      <c r="A31" s="8" t="s">
        <v>296</v>
      </c>
      <c r="B31" s="13">
        <f>INDEX(Cost2035GenRange,MATCH(B8,StateKeyRange,0))</f>
        <v>12.708</v>
      </c>
    </row>
    <row r="32" spans="1:11">
      <c r="A32" s="8" t="s">
        <v>297</v>
      </c>
      <c r="B32" s="13">
        <f>INDEX(Cost2035TxRange,MATCH(B8,StateKeyRange,0))</f>
        <v>2.878</v>
      </c>
    </row>
    <row r="33" spans="1:2">
      <c r="A33" s="8" t="s">
        <v>298</v>
      </c>
      <c r="B33" s="13">
        <f>INDEX(Cost2035DistRange,MATCH(B8,StateKeyRange,0))</f>
        <v>11.326</v>
      </c>
    </row>
    <row r="34" spans="1:2">
      <c r="A34" s="8" t="s">
        <v>299</v>
      </c>
      <c r="B34" s="13">
        <f>INDEX(Cost2035TotalRange,MATCH(B8,StateKeyRange,0))</f>
        <v>26.912</v>
      </c>
    </row>
    <row r="35" spans="1:2">
      <c r="A35" s="8" t="s">
        <v>300</v>
      </c>
      <c r="B35" s="13">
        <f>INDEX(BauStressGenRange,MATCH(B8,StateKeyRange,0))</f>
        <v>0.12</v>
      </c>
    </row>
    <row r="36" spans="1:2">
      <c r="A36" s="8" t="s">
        <v>301</v>
      </c>
      <c r="B36" s="13">
        <f>INDEX(BauStressTxRange,MATCH(B8,StateKeyRange,0))</f>
        <v>0.24</v>
      </c>
    </row>
    <row r="37" spans="1:2">
      <c r="A37" s="8" t="s">
        <v>302</v>
      </c>
      <c r="B37" s="13">
        <f>INDEX(BauStressDistRange,MATCH(B8,StateKeyRange,0))</f>
        <v>0.32</v>
      </c>
    </row>
    <row r="38" spans="1:2">
      <c r="A38" s="8" t="s">
        <v>303</v>
      </c>
      <c r="B38" s="14">
        <f>INDEX(CleanShare2025Range,MATCH(B8,StateKeyRange,0))</f>
        <v>0.583</v>
      </c>
    </row>
    <row r="39" spans="1:2">
      <c r="A39" s="8" t="s">
        <v>304</v>
      </c>
      <c r="B39" s="14">
        <f>INDEX(CleanShare2035Range,MATCH(B8,StateKeyRange,0))</f>
        <v>0.78</v>
      </c>
    </row>
    <row r="40" spans="1:2">
      <c r="A40" s="8" t="s">
        <v>305</v>
      </c>
      <c r="B40" s="13">
        <f>INDEX(EmissionsBaseRange,MATCH(B8,StateKeyRange,0))</f>
        <v>39.6</v>
      </c>
    </row>
    <row r="41" spans="1:2">
      <c r="A41" s="8" t="s">
        <v>306</v>
      </c>
      <c r="B41" s="13">
        <f>INDEX(Emissions2035Range,MATCH(B8,StateKeyRange,0))</f>
        <v>20.3</v>
      </c>
    </row>
    <row r="42" spans="1:2">
      <c r="A42" s="8" t="s">
        <v>307</v>
      </c>
      <c r="B42" s="3" t="str">
        <f>INDEX(HeadlineRange,MATCH(B8,StateKeyRange,0))</f>
        <v>High-rate state where distribution cost and grid reuse matter as much as cleaner supply.</v>
      </c>
    </row>
    <row r="43" spans="1:2">
      <c r="A43" s="8" t="s">
        <v>308</v>
      </c>
      <c r="B43" s="3" t="str">
        <f>INDEX(BlendNoteRange,MATCH(B8,StateKeyRange,0))</f>
        <v>California North and California South from EIA AEO Table 54 are blended using 2025 regional sales weights, then scaled to California's actual 2025 state retail price.</v>
      </c>
    </row>
    <row r="44" spans="1:2">
      <c r="A44" s="2" t="s">
        <v>318</v>
      </c>
      <c r="B44" s="3" t="str">
        <f>INDEX(PrimarySourcesRange,MATCH(B8,StateKeyRange,0))</f>
        <v>EIA state sales, revenue, and price data | EIA Annual Energy Outlook 2026 Table 54 | EIA annual state power-sector emissions</v>
      </c>
    </row>
    <row r="45" spans="1:2">
      <c r="A45" s="8" t="s">
        <v>319</v>
      </c>
      <c r="B45" s="13">
        <f>MAX(B19,B21)</f>
        <v>257</v>
      </c>
    </row>
    <row r="46" spans="1:2">
      <c r="A46" s="8" t="s">
        <v>320</v>
      </c>
      <c r="B46" s="13">
        <f>MAX(B20,B22)</f>
        <v>277</v>
      </c>
    </row>
    <row r="47" spans="1:2">
      <c r="A47" s="8" t="s">
        <v>321</v>
      </c>
      <c r="B47" s="13">
        <f>MAX(0,B45/B19-1)</f>
        <v>0.052416052416052406</v>
      </c>
    </row>
    <row r="48" spans="1:2">
      <c r="A48" s="8" t="s">
        <v>322</v>
      </c>
      <c r="B48" s="13">
        <f>MAX(0,B46/B20-1)</f>
        <v>0.2636861313868615</v>
      </c>
    </row>
    <row r="49" spans="1:2">
      <c r="A49" s="8" t="s">
        <v>323</v>
      </c>
      <c r="B49" s="13">
        <f>B23*(0.09+0.08*(1-B38))</f>
        <v>1.81881984</v>
      </c>
    </row>
    <row r="50" spans="1:2">
      <c r="A50" s="8" t="s">
        <v>324</v>
      </c>
      <c r="B50" s="13">
        <f>MAX(0.18,B26*0.012)</f>
        <v>0.3315</v>
      </c>
    </row>
    <row r="51" spans="1:2">
      <c r="A51" s="8" t="s">
        <v>325</v>
      </c>
      <c r="B51" s="13">
        <f>H18-B50</f>
        <v>29.51101274850123</v>
      </c>
    </row>
    <row r="52" spans="1:2">
      <c r="A52" s="8" t="s">
        <v>326</v>
      </c>
      <c r="B52" s="13">
        <f>MAX(0,I18-B51)</f>
        <v>1.8435197927396487</v>
      </c>
    </row>
    <row r="54" spans="1:2">
      <c r="A54" s="2" t="s">
        <v>327</v>
      </c>
    </row>
    <row r="55" spans="1:2">
      <c r="A55" s="8" t="s">
        <v>328</v>
      </c>
      <c r="B55" s="14">
        <f>B46/B18-1</f>
        <v>0.16386554621848748</v>
      </c>
    </row>
    <row r="56" spans="1:2">
      <c r="A56" s="8" t="s">
        <v>329</v>
      </c>
      <c r="B56" s="14">
        <f>MIN(1,MAX(0,B55/0.2))</f>
        <v>0.8193277310924374</v>
      </c>
    </row>
    <row r="57" spans="1:2">
      <c r="A57" s="8" t="s">
        <v>330</v>
      </c>
      <c r="B57" s="14">
        <f>MIN(0.9,MAX(0.05,1-B38))</f>
        <v>0.41700000000000004</v>
      </c>
    </row>
    <row r="58" spans="1:2">
      <c r="A58" s="8" t="s">
        <v>331</v>
      </c>
      <c r="B58" s="13">
        <f>MAX(0,B32/B24-1+0.75*B36)</f>
        <v>0.3298202157411106</v>
      </c>
    </row>
    <row r="59" spans="1:2">
      <c r="A59" s="8" t="s">
        <v>332</v>
      </c>
      <c r="B59" s="13">
        <f>MAX(0,B33/B25-1+0.7*B37)</f>
        <v>0.3152419308218519</v>
      </c>
    </row>
    <row r="60" spans="1:2">
      <c r="A60" s="8" t="s">
        <v>333</v>
      </c>
      <c r="B60" s="14">
        <f>MIN(1,MAX(0.5,0.55+1.3*B55+0.45*B59))</f>
        <v>0.9048840789538671</v>
      </c>
    </row>
    <row r="61" spans="1:2">
      <c r="A61" s="8" t="s">
        <v>334</v>
      </c>
      <c r="B61" s="14">
        <f>MIN(1,MAX(0.5,0.55+2.2*B58+0.3*B55))</f>
        <v>1</v>
      </c>
    </row>
    <row r="62" spans="1:2">
      <c r="A62" s="8" t="s">
        <v>335</v>
      </c>
      <c r="B62" s="14">
        <f>MIN(1,MAX(0.5,0.5+2.2*B59+0.55*B55))</f>
        <v>1</v>
      </c>
    </row>
    <row r="65" spans="1:21">
      <c r="A65" s="4" t="s">
        <v>35</v>
      </c>
      <c r="B65" s="4" t="s">
        <v>36</v>
      </c>
      <c r="C65" s="4" t="s">
        <v>253</v>
      </c>
      <c r="D65" s="4" t="s">
        <v>255</v>
      </c>
      <c r="E65" s="4" t="s">
        <v>336</v>
      </c>
      <c r="F65" s="4" t="s">
        <v>337</v>
      </c>
      <c r="G65" s="4" t="s">
        <v>338</v>
      </c>
      <c r="H65" s="4" t="s">
        <v>339</v>
      </c>
      <c r="I65" s="4" t="s">
        <v>340</v>
      </c>
      <c r="J65" s="4" t="s">
        <v>341</v>
      </c>
      <c r="K65" s="4" t="s">
        <v>342</v>
      </c>
      <c r="L65" s="4" t="s">
        <v>343</v>
      </c>
      <c r="M65" s="4" t="s">
        <v>344</v>
      </c>
      <c r="N65" s="4" t="s">
        <v>345</v>
      </c>
      <c r="O65" s="4" t="s">
        <v>346</v>
      </c>
      <c r="P65" s="4" t="s">
        <v>347</v>
      </c>
      <c r="Q65" s="4" t="s">
        <v>348</v>
      </c>
      <c r="R65" s="4" t="s">
        <v>349</v>
      </c>
      <c r="S65" s="4" t="s">
        <v>350</v>
      </c>
      <c r="T65" s="4" t="s">
        <v>351</v>
      </c>
      <c r="U65" s="4" t="s">
        <v>352</v>
      </c>
    </row>
    <row r="66" spans="1:21">
      <c r="A66" s="10" t="s">
        <v>44</v>
      </c>
      <c r="B66" t="str">
        <f>INDEX(LeverCategoryRange,MATCH(A66,LeverKeyRange,0))</f>
        <v>Generation</v>
      </c>
      <c r="C66" t="str">
        <f>INDEX(LeverLabelRange,MATCH(A66,LeverKeyRange,0))</f>
        <v>Solar + storage instead of gas and coal</v>
      </c>
      <c r="D66" s="11">
        <f>Inputs!$E$11</f>
        <v>78</v>
      </c>
      <c r="E66" s="14">
        <f>D66/100</f>
        <v>0.78</v>
      </c>
      <c r="F66" s="14">
        <f>IF($A66="solarStorageFossil",(0.24+0.2*$B$57+0.1*$B$56)*0.4,IF($A66="solarStreamlining",(0.22+0.1*$B$56)*0.32,IF($A66="vppDrPeakers",(0.12+0.16*$B$60)*0.5,IF($A66="surplusInterconnection",(0.12+0.08*$B$57)*0.18,IF($A66="reconductoring",0,IF($A66="txStorage",(0.08+0.06*$B$61)*0.15,(0.04+0.05*$B$62)*0.1))))))</f>
        <v>0.1621331092436975</v>
      </c>
      <c r="G66" s="14">
        <f>IF($A66="solarStorageFossil",0,IF($A66="solarStreamlining",0,IF($A66="vppDrPeakers",(0.06+0.06*$B$60)*0.3,IF($A66="surplusInterconnection",(0.22+0.12*$B$61)*0.35,IF($A66="reconductoring",(0.28+0.24*$B$61)*0.67,IF($A66="txStorage",(0.22+0.12*$B$61)*0.28,(0.06+0.05*$B$62)*0.18))))))</f>
        <v>0.0</v>
      </c>
      <c r="H66" s="14">
        <f>IF($A66="solarStorageFossil",0,IF($A66="solarStreamlining",0,IF($A66="vppDrPeakers",(0.08+0.08*$B$60)*0.25,IF($A66="surplusInterconnection",0,IF($A66="reconductoring",0,IF($A66="txStorage",0,(0.4+0.25*$B$62)*0.55))))))</f>
        <v>0.0</v>
      </c>
      <c r="I66" s="14">
        <f>IF($A66="solarStorageFossil",0.08+0.1*$B$57,IF($A66="solarStreamlining",0.03+0.03*$B$56,IF($A66="vppDrPeakers",0.02+0.04*$B$60,IF($A66="surplusInterconnection",0.04+0.02*$B$61,IF($A66="reconductoring",0.03+0.04*$B$61,IF($A66="txStorage",0.03+0.03*$B$61,0.01+0.02*$B$62))))))</f>
        <v>0.1217</v>
      </c>
      <c r="J66" s="14">
        <f>E66*F66</f>
        <v>0.12646382521008406</v>
      </c>
      <c r="K66" s="14">
        <f>E66*G66</f>
        <v>0.0</v>
      </c>
      <c r="L66" s="14">
        <f>E66*H66</f>
        <v>0.0</v>
      </c>
      <c r="M66" s="13">
        <f>H15*J66*$J$79</f>
        <v>1.6701987517810588</v>
      </c>
      <c r="N66" s="13">
        <f>H16*K66*$K$79</f>
        <v>0.0</v>
      </c>
      <c r="O66" s="13">
        <f>H17*L66*$L$79</f>
        <v>0.0</v>
      </c>
      <c r="P66" s="13">
        <f>SUM(M66:O66)</f>
        <v>1.6701987517810588</v>
      </c>
      <c r="Q66" s="13">
        <f>J15*J66*$J$79</f>
        <v>1.3792306274805863</v>
      </c>
      <c r="R66" s="13">
        <f>J16*K66*$K$79</f>
        <v>0.0</v>
      </c>
      <c r="S66" s="13">
        <f>J17*L66*$L$79</f>
        <v>0.0</v>
      </c>
      <c r="T66" s="13">
        <f>SUM(Q66:S66)</f>
        <v>1.3792306274805863</v>
      </c>
      <c r="U66" s="13">
        <f>T66*$J$19/IF(Inputs!$F$2="us",100,1000)</f>
        <v>3.820468838121224</v>
      </c>
    </row>
    <row r="67" spans="1:21">
      <c r="A67" s="10" t="s">
        <v>53</v>
      </c>
      <c r="B67" t="str">
        <f>INDEX(LeverCategoryRange,MATCH(A67,LeverKeyRange,0))</f>
        <v>Generation</v>
      </c>
      <c r="C67" t="str">
        <f>INDEX(LeverLabelRange,MATCH(A67,LeverKeyRange,0))</f>
        <v>Lower solar cost through streamlining and competition</v>
      </c>
      <c r="D67" s="11">
        <f>Inputs!$E$12</f>
        <v>72</v>
      </c>
      <c r="E67" s="14">
        <f>D67/100</f>
        <v>0.72</v>
      </c>
      <c r="F67" s="14">
        <f>IF($A67="solarStorageFossil",(0.24+0.2*$B$57+0.1*$B$56)*0.4,IF($A67="solarStreamlining",(0.22+0.1*$B$56)*0.32,IF($A67="vppDrPeakers",(0.12+0.16*$B$60)*0.5,IF($A67="surplusInterconnection",(0.12+0.08*$B$57)*0.18,IF($A67="reconductoring",0,IF($A67="txStorage",(0.08+0.06*$B$61)*0.15,(0.04+0.05*$B$62)*0.1))))))</f>
        <v>0.09661848739495799</v>
      </c>
      <c r="G67" s="14">
        <f>IF($A67="solarStorageFossil",0,IF($A67="solarStreamlining",0,IF($A67="vppDrPeakers",(0.06+0.06*$B$60)*0.3,IF($A67="surplusInterconnection",(0.22+0.12*$B$61)*0.35,IF($A67="reconductoring",(0.28+0.24*$B$61)*0.67,IF($A67="txStorage",(0.22+0.12*$B$61)*0.28,(0.06+0.05*$B$62)*0.18))))))</f>
        <v>0.0</v>
      </c>
      <c r="H67" s="14">
        <f>IF($A67="solarStorageFossil",0,IF($A67="solarStreamlining",0,IF($A67="vppDrPeakers",(0.08+0.08*$B$60)*0.25,IF($A67="surplusInterconnection",0,IF($A67="reconductoring",0,IF($A67="txStorage",0,(0.4+0.25*$B$62)*0.55))))))</f>
        <v>0.0</v>
      </c>
      <c r="I67" s="14">
        <f>IF($A67="solarStorageFossil",0.08+0.1*$B$57,IF($A67="solarStreamlining",0.03+0.03*$B$56,IF($A67="vppDrPeakers",0.02+0.04*$B$60,IF($A67="surplusInterconnection",0.04+0.02*$B$61,IF($A67="reconductoring",0.03+0.04*$B$61,IF($A67="txStorage",0.03+0.03*$B$61,0.01+0.02*$B$62))))))</f>
        <v>0.05457983193277312</v>
      </c>
      <c r="J67" s="14">
        <f>E67*F67</f>
        <v>0.06956531092436975</v>
      </c>
      <c r="K67" s="14">
        <f>E67*G67</f>
        <v>0.0</v>
      </c>
      <c r="L67" s="14">
        <f>E67*H67</f>
        <v>0.0</v>
      </c>
      <c r="M67" s="13">
        <f>H15*J67*$J$79</f>
        <v>0.9187441173800501</v>
      </c>
      <c r="N67" s="13">
        <f>H16*K67*$K$79</f>
        <v>0.0</v>
      </c>
      <c r="O67" s="13">
        <f>H17*L67*$L$79</f>
        <v>0.0</v>
      </c>
      <c r="P67" s="13">
        <f>SUM(M67:O67)</f>
        <v>0.9187441173800501</v>
      </c>
      <c r="Q67" s="13">
        <f>J15*J67*$J$79</f>
        <v>0.758688164601318</v>
      </c>
      <c r="R67" s="13">
        <f>J16*K67*$K$79</f>
        <v>0.0</v>
      </c>
      <c r="S67" s="13">
        <f>J17*L67*$L$79</f>
        <v>0.0</v>
      </c>
      <c r="T67" s="13">
        <f>SUM(Q67:S67)</f>
        <v>0.758688164601318</v>
      </c>
      <c r="U67" s="13">
        <f>T67*$J$19/IF(Inputs!$F$2="us",100,1000)</f>
        <v>2.101566215945651</v>
      </c>
    </row>
    <row r="68" spans="1:21">
      <c r="A68" s="10" t="s">
        <v>61</v>
      </c>
      <c r="B68" t="str">
        <f>INDEX(LeverCategoryRange,MATCH(A68,LeverKeyRange,0))</f>
        <v>Generation</v>
      </c>
      <c r="C68" t="str">
        <f>INDEX(LeverLabelRange,MATCH(A68,LeverKeyRange,0))</f>
        <v>VPPs or demand response instead of peakers</v>
      </c>
      <c r="D68" s="11">
        <f>Inputs!$E$13</f>
        <v>66</v>
      </c>
      <c r="E68" s="14">
        <f>D68/100</f>
        <v>0.66</v>
      </c>
      <c r="F68" s="14">
        <f>IF($A68="solarStorageFossil",(0.24+0.2*$B$57+0.1*$B$56)*0.4,IF($A68="solarStreamlining",(0.22+0.1*$B$56)*0.32,IF($A68="vppDrPeakers",(0.12+0.16*$B$60)*0.5,IF($A68="surplusInterconnection",(0.12+0.08*$B$57)*0.18,IF($A68="reconductoring",0,IF($A68="txStorage",(0.08+0.06*$B$61)*0.15,(0.04+0.05*$B$62)*0.1))))))</f>
        <v>0.13239072631630938</v>
      </c>
      <c r="G68" s="14">
        <f>IF($A68="solarStorageFossil",0,IF($A68="solarStreamlining",0,IF($A68="vppDrPeakers",(0.06+0.06*$B$60)*0.3,IF($A68="surplusInterconnection",(0.22+0.12*$B$61)*0.35,IF($A68="reconductoring",(0.28+0.24*$B$61)*0.67,IF($A68="txStorage",(0.22+0.12*$B$61)*0.28,(0.06+0.05*$B$62)*0.18))))))</f>
        <v>0.0342879134211696</v>
      </c>
      <c r="H68" s="14">
        <f>IF($A68="solarStorageFossil",0,IF($A68="solarStreamlining",0,IF($A68="vppDrPeakers",(0.08+0.08*$B$60)*0.25,IF($A68="surplusInterconnection",0,IF($A68="reconductoring",0,IF($A68="txStorage",0,(0.4+0.25*$B$62)*0.55))))))</f>
        <v>0.03809768157907734</v>
      </c>
      <c r="I68" s="14">
        <f>IF($A68="solarStorageFossil",0.08+0.1*$B$57,IF($A68="solarStreamlining",0.03+0.03*$B$56,IF($A68="vppDrPeakers",0.02+0.04*$B$60,IF($A68="surplusInterconnection",0.04+0.02*$B$61,IF($A68="reconductoring",0.03+0.04*$B$61,IF($A68="txStorage",0.03+0.03*$B$61,0.01+0.02*$B$62))))))</f>
        <v>0.05619536315815468</v>
      </c>
      <c r="J68" s="14">
        <f>E68*F68</f>
        <v>0.08737787936876419</v>
      </c>
      <c r="K68" s="14">
        <f>E68*G68</f>
        <v>0.02263002285797194</v>
      </c>
      <c r="L68" s="14">
        <f>E68*H68</f>
        <v>0.02514446984219105</v>
      </c>
      <c r="M68" s="13">
        <f>H15*J68*$J$79</f>
        <v>1.1539934428881164</v>
      </c>
      <c r="N68" s="13">
        <f>H16*K68*$K$79</f>
        <v>0.07267076250312472</v>
      </c>
      <c r="O68" s="13">
        <f>H17*L68*$L$79</f>
        <v>0.33754764395831793</v>
      </c>
      <c r="P68" s="13">
        <f>SUM(M68:O68)</f>
        <v>1.564211849349559</v>
      </c>
      <c r="Q68" s="13">
        <f>J15*J68*$J$79</f>
        <v>0.9529543107643873</v>
      </c>
      <c r="R68" s="13">
        <f>J16*K68*$K$79</f>
        <v>0.08009806379544472</v>
      </c>
      <c r="S68" s="13">
        <f>J17*L68*$L$79</f>
        <v>0.37881212229644123</v>
      </c>
      <c r="T68" s="13">
        <f>SUM(Q68:S68)</f>
        <v>1.4118644968562735</v>
      </c>
      <c r="U68" s="13">
        <f>T68*$J$19/IF(Inputs!$F$2="us",100,1000)</f>
        <v>3.9108646562918774</v>
      </c>
    </row>
    <row r="69" spans="1:21">
      <c r="A69" s="10" t="s">
        <v>69</v>
      </c>
      <c r="B69" t="str">
        <f>INDEX(LeverCategoryRange,MATCH(A69,LeverKeyRange,0))</f>
        <v>Transmission</v>
      </c>
      <c r="C69" t="str">
        <f>INDEX(LeverLabelRange,MATCH(A69,LeverKeyRange,0))</f>
        <v>Surplus interconnection at underused sites</v>
      </c>
      <c r="D69" s="11">
        <f>Inputs!$E$14</f>
        <v>68</v>
      </c>
      <c r="E69" s="14">
        <f>D69/100</f>
        <v>0.68</v>
      </c>
      <c r="F69" s="14">
        <f>IF($A69="solarStorageFossil",(0.24+0.2*$B$57+0.1*$B$56)*0.4,IF($A69="solarStreamlining",(0.22+0.1*$B$56)*0.32,IF($A69="vppDrPeakers",(0.12+0.16*$B$60)*0.5,IF($A69="surplusInterconnection",(0.12+0.08*$B$57)*0.18,IF($A69="reconductoring",0,IF($A69="txStorage",(0.08+0.06*$B$61)*0.15,(0.04+0.05*$B$62)*0.1))))))</f>
        <v>0.0276048</v>
      </c>
      <c r="G69" s="14">
        <f>IF($A69="solarStorageFossil",0,IF($A69="solarStreamlining",0,IF($A69="vppDrPeakers",(0.06+0.06*$B$60)*0.3,IF($A69="surplusInterconnection",(0.22+0.12*$B$61)*0.35,IF($A69="reconductoring",(0.28+0.24*$B$61)*0.67,IF($A69="txStorage",(0.22+0.12*$B$61)*0.28,(0.06+0.05*$B$62)*0.18))))))</f>
        <v>0.11899999999999998</v>
      </c>
      <c r="H69" s="14">
        <f>IF($A69="solarStorageFossil",0,IF($A69="solarStreamlining",0,IF($A69="vppDrPeakers",(0.08+0.08*$B$60)*0.25,IF($A69="surplusInterconnection",0,IF($A69="reconductoring",0,IF($A69="txStorage",0,(0.4+0.25*$B$62)*0.55))))))</f>
        <v>0.0</v>
      </c>
      <c r="I69" s="14">
        <f>IF($A69="solarStorageFossil",0.08+0.1*$B$57,IF($A69="solarStreamlining",0.03+0.03*$B$56,IF($A69="vppDrPeakers",0.02+0.04*$B$60,IF($A69="surplusInterconnection",0.04+0.02*$B$61,IF($A69="reconductoring",0.03+0.04*$B$61,IF($A69="txStorage",0.03+0.03*$B$61,0.01+0.02*$B$62))))))</f>
        <v>0.06</v>
      </c>
      <c r="J69" s="14">
        <f>E69*F69</f>
        <v>0.018771264</v>
      </c>
      <c r="K69" s="14">
        <f>E69*G69</f>
        <v>0.08091999999999999</v>
      </c>
      <c r="L69" s="14">
        <f>E69*H69</f>
        <v>0.0</v>
      </c>
      <c r="M69" s="13">
        <f>H15*J69*$J$79</f>
        <v>0.24791074957657358</v>
      </c>
      <c r="N69" s="13">
        <f>H16*K69*$K$79</f>
        <v>0.25985471330097687</v>
      </c>
      <c r="O69" s="13">
        <f>H17*L69*$L$79</f>
        <v>0.0</v>
      </c>
      <c r="P69" s="13">
        <f>SUM(M69:O69)</f>
        <v>0.5077654628775504</v>
      </c>
      <c r="Q69" s="13">
        <f>J15*J69*$J$79</f>
        <v>0.20472180232026788</v>
      </c>
      <c r="R69" s="13">
        <f>J16*K69*$K$79</f>
        <v>0.28641311425119126</v>
      </c>
      <c r="S69" s="13">
        <f>J17*L69*$L$79</f>
        <v>0.0</v>
      </c>
      <c r="T69" s="13">
        <f>SUM(Q69:S69)</f>
        <v>0.49113491657145913</v>
      </c>
      <c r="U69" s="13">
        <f>T69*$J$19/IF(Inputs!$F$2="us",100,1000)</f>
        <v>1.3604437189029417</v>
      </c>
    </row>
    <row r="70" spans="1:21">
      <c r="A70" s="10" t="s">
        <v>77</v>
      </c>
      <c r="B70" t="str">
        <f>INDEX(LeverCategoryRange,MATCH(A70,LeverKeyRange,0))</f>
        <v>Transmission</v>
      </c>
      <c r="C70" t="str">
        <f>INDEX(LeverLabelRange,MATCH(A70,LeverKeyRange,0))</f>
        <v>Reconductoring to double transfer capacity</v>
      </c>
      <c r="D70" s="11">
        <f>Inputs!$E$15</f>
        <v>62</v>
      </c>
      <c r="E70" s="14">
        <f>D70/100</f>
        <v>0.62</v>
      </c>
      <c r="F70" s="14">
        <f>IF($A70="solarStorageFossil",(0.24+0.2*$B$57+0.1*$B$56)*0.4,IF($A70="solarStreamlining",(0.22+0.1*$B$56)*0.32,IF($A70="vppDrPeakers",(0.12+0.16*$B$60)*0.5,IF($A70="surplusInterconnection",(0.12+0.08*$B$57)*0.18,IF($A70="reconductoring",0,IF($A70="txStorage",(0.08+0.06*$B$61)*0.15,(0.04+0.05*$B$62)*0.1))))))</f>
        <v>0.0</v>
      </c>
      <c r="G70" s="14">
        <f>IF($A70="solarStorageFossil",0,IF($A70="solarStreamlining",0,IF($A70="vppDrPeakers",(0.06+0.06*$B$60)*0.3,IF($A70="surplusInterconnection",(0.22+0.12*$B$61)*0.35,IF($A70="reconductoring",(0.28+0.24*$B$61)*0.67,IF($A70="txStorage",(0.22+0.12*$B$61)*0.28,(0.06+0.05*$B$62)*0.18))))))</f>
        <v>0.34840000000000004</v>
      </c>
      <c r="H70" s="14">
        <f>IF($A70="solarStorageFossil",0,IF($A70="solarStreamlining",0,IF($A70="vppDrPeakers",(0.08+0.08*$B$60)*0.25,IF($A70="surplusInterconnection",0,IF($A70="reconductoring",0,IF($A70="txStorage",0,(0.4+0.25*$B$62)*0.55))))))</f>
        <v>0.0</v>
      </c>
      <c r="I70" s="14">
        <f>IF($A70="solarStorageFossil",0.08+0.1*$B$57,IF($A70="solarStreamlining",0.03+0.03*$B$56,IF($A70="vppDrPeakers",0.02+0.04*$B$60,IF($A70="surplusInterconnection",0.04+0.02*$B$61,IF($A70="reconductoring",0.03+0.04*$B$61,IF($A70="txStorage",0.03+0.03*$B$61,0.01+0.02*$B$62))))))</f>
        <v>0.07</v>
      </c>
      <c r="J70" s="14">
        <f>E70*F70</f>
        <v>0.0</v>
      </c>
      <c r="K70" s="14">
        <f>E70*G70</f>
        <v>0.21600800000000003</v>
      </c>
      <c r="L70" s="14">
        <f>E70*H70</f>
        <v>0.0</v>
      </c>
      <c r="M70" s="13">
        <f>H15*J70*$J$79</f>
        <v>0.0</v>
      </c>
      <c r="N70" s="13">
        <f>H16*K70*$K$79</f>
        <v>0.6936566597963102</v>
      </c>
      <c r="O70" s="13">
        <f>H17*L70*$L$79</f>
        <v>0.0</v>
      </c>
      <c r="P70" s="13">
        <f>SUM(M70:O70)</f>
        <v>0.6936566597963102</v>
      </c>
      <c r="Q70" s="13">
        <f>J15*J70*$J$79</f>
        <v>0.0</v>
      </c>
      <c r="R70" s="13">
        <f>J16*K70*$K$79</f>
        <v>0.7645517051800709</v>
      </c>
      <c r="S70" s="13">
        <f>J17*L70*$L$79</f>
        <v>0.0</v>
      </c>
      <c r="T70" s="13">
        <f>SUM(Q70:S70)</f>
        <v>0.7645517051800709</v>
      </c>
      <c r="U70" s="13">
        <f>T70*$J$19/IF(Inputs!$F$2="us",100,1000)</f>
        <v>2.1178082233487965</v>
      </c>
    </row>
    <row r="71" spans="1:21">
      <c r="A71" s="10" t="s">
        <v>84</v>
      </c>
      <c r="B71" t="str">
        <f>INDEX(LeverCategoryRange,MATCH(A71,LeverKeyRange,0))</f>
        <v>Transmission</v>
      </c>
      <c r="C71" t="str">
        <f>INDEX(LeverLabelRange,MATCH(A71,LeverKeyRange,0))</f>
        <v>Strategic placement of storage to improve transmission utilization</v>
      </c>
      <c r="D71" s="11">
        <f>Inputs!$E$16</f>
        <v>54</v>
      </c>
      <c r="E71" s="14">
        <f>D71/100</f>
        <v>0.54</v>
      </c>
      <c r="F71" s="14">
        <f>IF($A71="solarStorageFossil",(0.24+0.2*$B$57+0.1*$B$56)*0.4,IF($A71="solarStreamlining",(0.22+0.1*$B$56)*0.32,IF($A71="vppDrPeakers",(0.12+0.16*$B$60)*0.5,IF($A71="surplusInterconnection",(0.12+0.08*$B$57)*0.18,IF($A71="reconductoring",0,IF($A71="txStorage",(0.08+0.06*$B$61)*0.15,(0.04+0.05*$B$62)*0.1))))))</f>
        <v>0.021</v>
      </c>
      <c r="G71" s="14">
        <f>IF($A71="solarStorageFossil",0,IF($A71="solarStreamlining",0,IF($A71="vppDrPeakers",(0.06+0.06*$B$60)*0.3,IF($A71="surplusInterconnection",(0.22+0.12*$B$61)*0.35,IF($A71="reconductoring",(0.28+0.24*$B$61)*0.67,IF($A71="txStorage",(0.22+0.12*$B$61)*0.28,(0.06+0.05*$B$62)*0.18))))))</f>
        <v>0.0952</v>
      </c>
      <c r="H71" s="14">
        <f>IF($A71="solarStorageFossil",0,IF($A71="solarStreamlining",0,IF($A71="vppDrPeakers",(0.08+0.08*$B$60)*0.25,IF($A71="surplusInterconnection",0,IF($A71="reconductoring",0,IF($A71="txStorage",0,(0.4+0.25*$B$62)*0.55))))))</f>
        <v>0.0</v>
      </c>
      <c r="I71" s="14">
        <f>IF($A71="solarStorageFossil",0.08+0.1*$B$57,IF($A71="solarStreamlining",0.03+0.03*$B$56,IF($A71="vppDrPeakers",0.02+0.04*$B$60,IF($A71="surplusInterconnection",0.04+0.02*$B$61,IF($A71="reconductoring",0.03+0.04*$B$61,IF($A71="txStorage",0.03+0.03*$B$61,0.01+0.02*$B$62))))))</f>
        <v>0.06</v>
      </c>
      <c r="J71" s="14">
        <f>E71*F71</f>
        <v>0.011340000000000001</v>
      </c>
      <c r="K71" s="14">
        <f>E71*G71</f>
        <v>0.05140800000000001</v>
      </c>
      <c r="L71" s="14">
        <f>E71*H71</f>
        <v>0.0</v>
      </c>
      <c r="M71" s="13">
        <f>H15*J71*$J$79</f>
        <v>0.14976657406759314</v>
      </c>
      <c r="N71" s="13">
        <f>H16*K71*$K$79</f>
        <v>0.16508417080297358</v>
      </c>
      <c r="O71" s="13">
        <f>H17*L71*$L$79</f>
        <v>0.0</v>
      </c>
      <c r="P71" s="13">
        <f>SUM(M71:O71)</f>
        <v>0.31485074487056675</v>
      </c>
      <c r="Q71" s="13">
        <f>J15*J71*$J$79</f>
        <v>0.12367548814570176</v>
      </c>
      <c r="R71" s="13">
        <f>J16*K71*$K$79</f>
        <v>0.18195656670075683</v>
      </c>
      <c r="S71" s="13">
        <f>J17*L71*$L$79</f>
        <v>0.0</v>
      </c>
      <c r="T71" s="13">
        <f>SUM(Q71:S71)</f>
        <v>0.3056320548464586</v>
      </c>
      <c r="U71" s="13">
        <f>T71*$J$19/IF(Inputs!$F$2="us",100,1000)</f>
        <v>0.8466007919246904</v>
      </c>
    </row>
    <row r="72" spans="1:21">
      <c r="A72" s="10" t="s">
        <v>92</v>
      </c>
      <c r="B72" t="str">
        <f>INDEX(LeverCategoryRange,MATCH(A72,LeverKeyRange,0))</f>
        <v>Distribution</v>
      </c>
      <c r="C72" t="str">
        <f>INDEX(LeverLabelRange,MATCH(A72,LeverKeyRange,0))</f>
        <v>Improve distribution utilization with off-peak EVs and flexible load</v>
      </c>
      <c r="D72" s="11">
        <f>Inputs!$E$17</f>
        <v>60</v>
      </c>
      <c r="E72" s="14">
        <f>D72/100</f>
        <v>0.6</v>
      </c>
      <c r="F72" s="14">
        <f>IF($A72="solarStorageFossil",(0.24+0.2*$B$57+0.1*$B$56)*0.4,IF($A72="solarStreamlining",(0.22+0.1*$B$56)*0.32,IF($A72="vppDrPeakers",(0.12+0.16*$B$60)*0.5,IF($A72="surplusInterconnection",(0.12+0.08*$B$57)*0.18,IF($A72="reconductoring",0,IF($A72="txStorage",(0.08+0.06*$B$61)*0.15,(0.04+0.05*$B$62)*0.1))))))</f>
        <v>0.009</v>
      </c>
      <c r="G72" s="14">
        <f>IF($A72="solarStorageFossil",0,IF($A72="solarStreamlining",0,IF($A72="vppDrPeakers",(0.06+0.06*$B$60)*0.3,IF($A72="surplusInterconnection",(0.22+0.12*$B$61)*0.35,IF($A72="reconductoring",(0.28+0.24*$B$61)*0.67,IF($A72="txStorage",(0.22+0.12*$B$61)*0.28,(0.06+0.05*$B$62)*0.18))))))</f>
        <v>0.019799999999999998</v>
      </c>
      <c r="H72" s="14">
        <f>IF($A72="solarStorageFossil",0,IF($A72="solarStreamlining",0,IF($A72="vppDrPeakers",(0.08+0.08*$B$60)*0.25,IF($A72="surplusInterconnection",0,IF($A72="reconductoring",0,IF($A72="txStorage",0,(0.4+0.25*$B$62)*0.55))))))</f>
        <v>0.35750000000000004</v>
      </c>
      <c r="I72" s="14">
        <f>IF($A72="solarStorageFossil",0.08+0.1*$B$57,IF($A72="solarStreamlining",0.03+0.03*$B$56,IF($A72="vppDrPeakers",0.02+0.04*$B$60,IF($A72="surplusInterconnection",0.04+0.02*$B$61,IF($A72="reconductoring",0.03+0.04*$B$61,IF($A72="txStorage",0.03+0.03*$B$61,0.01+0.02*$B$62))))))</f>
        <v>0.03</v>
      </c>
      <c r="J72" s="14">
        <f>E72*F72</f>
        <v>0.005399999999999999</v>
      </c>
      <c r="K72" s="14">
        <f>E72*G72</f>
        <v>0.011879999999999998</v>
      </c>
      <c r="L72" s="14">
        <f>E72*H72</f>
        <v>0.21450000000000002</v>
      </c>
      <c r="M72" s="13">
        <f>H15*J72*$J$79</f>
        <v>0.07131741622266338</v>
      </c>
      <c r="N72" s="13">
        <f>H16*K72*$K$79</f>
        <v>0.03814970333682161</v>
      </c>
      <c r="O72" s="13">
        <f>H17*L72*$L$79</f>
        <v>2.8795186410162166</v>
      </c>
      <c r="P72" s="13">
        <f>SUM(M72:O72)</f>
        <v>2.9889857605757015</v>
      </c>
      <c r="Q72" s="13">
        <f>J15*J72*$J$79</f>
        <v>0.0588930895931913</v>
      </c>
      <c r="R72" s="13">
        <f>J16*K72*$K$79</f>
        <v>0.04204878642244379</v>
      </c>
      <c r="S72" s="13">
        <f>J17*L72*$L$79</f>
        <v>3.231533643085402</v>
      </c>
      <c r="T72" s="13">
        <f>SUM(Q72:S72)</f>
        <v>3.3324755191010373</v>
      </c>
      <c r="U72" s="13">
        <f>T72*$J$19/IF(Inputs!$F$2="us",100,1000)</f>
        <v>9.230957187909873</v>
      </c>
    </row>
    <row r="74" spans="1:21">
      <c r="J74" s="8" t="s">
        <v>353</v>
      </c>
    </row>
    <row r="75" spans="1:21">
      <c r="J75" s="14">
        <f>SUM(J66:J72)</f>
        <v>0.31891827950321805</v>
      </c>
      <c r="K75" s="14">
        <f>SUM(K66:K72)</f>
        <v>0.382846022857972</v>
      </c>
      <c r="L75" s="14">
        <f>SUM(L66:L72)</f>
        <v>0.23964446984219107</v>
      </c>
    </row>
    <row r="76" spans="1:21">
      <c r="J76" s="8" t="s">
        <v>354</v>
      </c>
    </row>
    <row r="77" spans="1:21">
      <c r="J77" s="14">
        <f>IF(Inputs!$F$2="us",0.48,0.5)</f>
        <v>0.48</v>
      </c>
      <c r="K77" s="14">
        <f>IF(Inputs!$F$2="us",0.5,0.54)</f>
        <v>0.5</v>
      </c>
      <c r="L77" s="14">
        <f>IF(Inputs!$F$2="us",0.4,0.38)</f>
        <v>0.4</v>
      </c>
    </row>
    <row r="78" spans="1:21">
      <c r="J78" s="8" t="s">
        <v>355</v>
      </c>
    </row>
    <row r="79" spans="1:21">
      <c r="J79" s="14">
        <f>IF(J75&gt;0,IF(J75&gt;J77,J77/J75,1),1)</f>
        <v>1.0</v>
      </c>
      <c r="K79" s="14">
        <f>IF(K75&gt;0,IF(K75&gt;K77,K77/K75,1),1)</f>
        <v>1.0</v>
      </c>
      <c r="L79" s="14">
        <f>IF(L75&gt;0,IF(L75&gt;L77,L77/L75,1),1)</f>
        <v>1.0</v>
      </c>
    </row>
    <row r="82" spans="1:2">
      <c r="A82" s="2" t="s">
        <v>356</v>
      </c>
    </row>
    <row r="83" spans="1:2">
      <c r="A83" s="8" t="s">
        <v>357</v>
      </c>
      <c r="B83" s="13">
        <f>H18-SUM(P66:P72)</f>
        <v>21.184099401870434</v>
      </c>
    </row>
    <row r="84" spans="1:2">
      <c r="A84" s="8" t="s">
        <v>358</v>
      </c>
      <c r="B84" s="13">
        <f>J18-K18</f>
        <v>8.443577484637203</v>
      </c>
    </row>
    <row r="85" spans="1:2">
      <c r="A85" s="8" t="s">
        <v>359</v>
      </c>
      <c r="B85" s="13">
        <f>IF(Inputs!$F$2="us",100,1000)</f>
        <v>100.0</v>
      </c>
    </row>
    <row r="86" spans="1:2">
      <c r="A86" s="8" t="s">
        <v>269</v>
      </c>
      <c r="B86" s="13">
        <f>B84*J19/B85</f>
        <v>23.388709632445053</v>
      </c>
    </row>
    <row r="87" spans="1:2">
      <c r="A87" s="8" t="s">
        <v>360</v>
      </c>
      <c r="B87" s="14">
        <f>SUM(I66:I72)</f>
        <v>0.30591241867597874</v>
      </c>
    </row>
    <row r="88" spans="1:2">
      <c r="A88" s="8" t="s">
        <v>361</v>
      </c>
      <c r="B88" s="14">
        <f>MIN(MAX(B39+B87,B39),0.94)</f>
        <v>0.94</v>
      </c>
    </row>
    <row r="89" spans="1:2">
      <c r="A89" s="8" t="s">
        <v>362</v>
      </c>
      <c r="B89" s="14">
        <f>MAX(0.04,1-B39)</f>
        <v>0.21999999999999997</v>
      </c>
    </row>
    <row r="90" spans="1:2">
      <c r="A90" s="8" t="s">
        <v>363</v>
      </c>
      <c r="B90" s="14">
        <f>MAX(0.04,1-B88)</f>
        <v>0.06000000000000005</v>
      </c>
    </row>
    <row r="91" spans="1:2">
      <c r="A91" s="8" t="s">
        <v>271</v>
      </c>
      <c r="B91" s="13">
        <f>B41*(B90/B89)</f>
        <v>5.5363636363636415</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dimension ref="A1:Q25"/>
  <sheetViews>
    <sheetView workbookViewId="0">
      <pane ySplit="10" topLeftCell="A11" activePane="bottomLeft" state="frozen"/>
      <selection pane="bottomLeft"/>
    </sheetView>
  </sheetViews>
  <sheetFormatPr defaultRowHeight="15"/>
  <cols>
    <col min="1" max="1" width="30.7109375" customWidth="1"/>
    <col min="2" max="7" width="18.7109375" customWidth="1"/>
    <col min="8" max="17" width="14.7109375" customWidth="1"/>
    <col min="18" max="18" width="20.7109375" customWidth="1"/>
  </cols>
  <sheetData>
    <row r="1" spans="1:17">
      <c r="A1" s="1" t="s">
        <v>366</v>
      </c>
    </row>
    <row r="3" spans="1:17">
      <c r="A3" s="3" t="s">
        <v>367</v>
      </c>
    </row>
    <row r="5" spans="1:17">
      <c r="A5" s="2" t="s">
        <v>368</v>
      </c>
    </row>
    <row r="6" spans="1:17">
      <c r="A6" s="8" t="s">
        <v>369</v>
      </c>
      <c r="B6" t="str">
        <f>Inputs!$F$3&amp;"|"&amp;Inputs!$F$4</f>
        <v>california|affordabilityFirst</v>
      </c>
    </row>
    <row r="7" spans="1:17">
      <c r="A7" s="8" t="s">
        <v>370</v>
      </c>
      <c r="B7" s="11" t="b">
        <f>COUNTIF($A$15:$A$24,B6)&gt;0</f>
        <v>1</v>
      </c>
    </row>
    <row r="9" spans="1:17">
      <c r="A9" s="4" t="s">
        <v>371</v>
      </c>
      <c r="B9" s="4" t="s">
        <v>372</v>
      </c>
      <c r="C9" s="4" t="s">
        <v>373</v>
      </c>
      <c r="D9" s="4" t="s">
        <v>374</v>
      </c>
      <c r="E9" s="4" t="s">
        <v>375</v>
      </c>
    </row>
    <row r="10" spans="1:17">
      <c r="A10" s="8" t="s">
        <v>267</v>
      </c>
      <c r="B10" s="13">
        <f>Model_Baseline2035</f>
        <v>29.51101274850123</v>
      </c>
      <c r="C10" s="13">
        <f>IF(B7,INDEX($M$15:$M$24,MATCH(B6,$A$15:$A$24,0)),"")</f>
        <v>29.51101274850123</v>
      </c>
      <c r="D10" s="13">
        <f>IF(B7,B10-C10,"")</f>
        <v>0.0</v>
      </c>
      <c r="E10" s="3" t="str">
        <f>IF(NOT(B7),"No benchmark",IF(ABS(D10)&lt;0.0005,"PASS","CHECK"))</f>
        <v>PASS</v>
      </c>
    </row>
    <row r="11" spans="1:17">
      <c r="A11" s="8" t="s">
        <v>268</v>
      </c>
      <c r="B11" s="13">
        <f>Model_Strategy2035</f>
        <v>21.067435263864027</v>
      </c>
      <c r="C11" s="13">
        <f>IF(B7,INDEX($N$15:$N$24,MATCH(B6,$A$15:$A$24,0)),"")</f>
        <v>21.067435263864027</v>
      </c>
      <c r="D11" s="13">
        <f>IF(B7,B11-C11,"")</f>
        <v>0.0</v>
      </c>
      <c r="E11" s="3" t="str">
        <f>IF(NOT(B7),"No benchmark",IF(ABS(D11)&lt;0.0005,"PASS","CHECK"))</f>
        <v>PASS</v>
      </c>
    </row>
    <row r="12" spans="1:17">
      <c r="A12" s="8" t="s">
        <v>269</v>
      </c>
      <c r="B12" s="13">
        <f>Model_AnnualSavings</f>
        <v>23.388709632445053</v>
      </c>
      <c r="C12" s="13">
        <f>IF(B7,INDEX($O$15:$O$24,MATCH(B6,$A$15:$A$24,0)),"")</f>
        <v>23.388709632445053</v>
      </c>
      <c r="D12" s="13">
        <f>IF(B7,B12-C12,"")</f>
        <v>0.0</v>
      </c>
      <c r="E12" s="3" t="str">
        <f>IF(NOT(B7),"No benchmark",IF(ABS(D12)&lt;0.0005,"PASS","CHECK"))</f>
        <v>PASS</v>
      </c>
    </row>
    <row r="13" spans="1:17">
      <c r="A13" s="8" t="s">
        <v>270</v>
      </c>
      <c r="B13" s="13">
        <f>Model_StrategyCleanShare</f>
        <v>0.94</v>
      </c>
      <c r="C13" s="13">
        <f>IF(B7,INDEX($P$15:$P$24,MATCH(B6,$A$15:$A$24,0)),"")</f>
        <v>0.94</v>
      </c>
      <c r="D13" s="13">
        <f>IF(B7,B13-C13,"")</f>
        <v>0.0</v>
      </c>
      <c r="E13" s="3" t="str">
        <f>IF(NOT(B7),"No benchmark",IF(ABS(D13)&lt;0.0005,"PASS","CHECK"))</f>
        <v>PASS</v>
      </c>
    </row>
    <row r="14" spans="1:17">
      <c r="A14" s="8" t="s">
        <v>271</v>
      </c>
      <c r="B14" s="13">
        <f>Model_StrategyEmissions</f>
        <v>5.5363636363636415</v>
      </c>
      <c r="C14" s="13">
        <f>IF(B7,INDEX($Q$15:$Q$24,MATCH(B6,$A$15:$A$24,0)),"")</f>
        <v>5.5363636363636415</v>
      </c>
      <c r="D14" s="13">
        <f>IF(B7,B14-C14,"")</f>
        <v>0.0</v>
      </c>
      <c r="E14" s="3" t="str">
        <f>IF(NOT(B7),"No benchmark",IF(ABS(D14)&lt;0.0005,"PASS","CHECK"))</f>
        <v>PASS</v>
      </c>
    </row>
    <row r="15" spans="1:17">
      <c r="A15" s="4" t="s">
        <v>376</v>
      </c>
      <c r="B15" s="4" t="s">
        <v>100</v>
      </c>
      <c r="C15" s="4" t="s">
        <v>99</v>
      </c>
      <c r="D15" s="4" t="s">
        <v>102</v>
      </c>
      <c r="E15" s="4" t="s">
        <v>189</v>
      </c>
      <c r="F15" s="4" t="s">
        <v>44</v>
      </c>
      <c r="G15" s="4" t="s">
        <v>53</v>
      </c>
      <c r="H15" s="4" t="s">
        <v>61</v>
      </c>
      <c r="I15" s="4" t="s">
        <v>69</v>
      </c>
      <c r="J15" s="4" t="s">
        <v>77</v>
      </c>
      <c r="K15" s="4" t="s">
        <v>84</v>
      </c>
      <c r="L15" s="4" t="s">
        <v>92</v>
      </c>
      <c r="M15" s="4" t="s">
        <v>377</v>
      </c>
      <c r="N15" s="4" t="s">
        <v>378</v>
      </c>
      <c r="O15" s="4" t="s">
        <v>379</v>
      </c>
      <c r="P15" s="4" t="s">
        <v>380</v>
      </c>
      <c r="Q15" s="4" t="s">
        <v>381</v>
      </c>
    </row>
    <row r="16" spans="1:17">
      <c r="A16" s="3" t="s">
        <v>382</v>
      </c>
      <c r="B16" s="3" t="s">
        <v>137</v>
      </c>
      <c r="C16" s="3" t="s">
        <v>136</v>
      </c>
      <c r="D16" s="3" t="s">
        <v>9</v>
      </c>
      <c r="E16" s="3" t="s">
        <v>6</v>
      </c>
      <c r="F16" s="7">
        <v>78</v>
      </c>
      <c r="G16" s="7">
        <v>72</v>
      </c>
      <c r="H16" s="7">
        <v>66</v>
      </c>
      <c r="I16" s="7">
        <v>68</v>
      </c>
      <c r="J16" s="7">
        <v>62</v>
      </c>
      <c r="K16" s="7">
        <v>54</v>
      </c>
      <c r="L16" s="7">
        <v>60</v>
      </c>
      <c r="M16" s="5">
        <v>29.51101274850123</v>
      </c>
      <c r="N16" s="5">
        <v>21.06743526386403</v>
      </c>
      <c r="O16" s="5">
        <v>23.38870963244505</v>
      </c>
      <c r="P16" s="6">
        <v>0.9399999999999999</v>
      </c>
      <c r="Q16" s="5">
        <v>5.536363636363641</v>
      </c>
    </row>
    <row r="17" spans="1:17">
      <c r="A17" s="3" t="s">
        <v>383</v>
      </c>
      <c r="B17" s="3" t="s">
        <v>137</v>
      </c>
      <c r="C17" s="3" t="s">
        <v>145</v>
      </c>
      <c r="D17" s="3" t="s">
        <v>10</v>
      </c>
      <c r="E17" s="3" t="s">
        <v>7</v>
      </c>
      <c r="F17" s="7">
        <v>58</v>
      </c>
      <c r="G17" s="7">
        <v>50</v>
      </c>
      <c r="H17" s="7">
        <v>56</v>
      </c>
      <c r="I17" s="7">
        <v>78</v>
      </c>
      <c r="J17" s="7">
        <v>84</v>
      </c>
      <c r="K17" s="7">
        <v>72</v>
      </c>
      <c r="L17" s="7">
        <v>66</v>
      </c>
      <c r="M17" s="5">
        <v>12.15525048513967</v>
      </c>
      <c r="N17" s="5">
        <v>8.133233225567711</v>
      </c>
      <c r="O17" s="5">
        <v>27.43015771028073</v>
      </c>
      <c r="P17" s="6">
        <v>0.9399999999999999</v>
      </c>
      <c r="Q17" s="5">
        <v>28.74418604651165</v>
      </c>
    </row>
    <row r="18" spans="1:17">
      <c r="A18" s="3" t="s">
        <v>384</v>
      </c>
      <c r="B18" s="3" t="s">
        <v>137</v>
      </c>
      <c r="C18" s="3" t="s">
        <v>149</v>
      </c>
      <c r="D18" s="3" t="s">
        <v>11</v>
      </c>
      <c r="E18" s="3" t="s">
        <v>6</v>
      </c>
      <c r="F18" s="7">
        <v>78</v>
      </c>
      <c r="G18" s="7">
        <v>72</v>
      </c>
      <c r="H18" s="7">
        <v>66</v>
      </c>
      <c r="I18" s="7">
        <v>68</v>
      </c>
      <c r="J18" s="7">
        <v>62</v>
      </c>
      <c r="K18" s="7">
        <v>54</v>
      </c>
      <c r="L18" s="7">
        <v>60</v>
      </c>
      <c r="M18" s="5">
        <v>14.77826582675202</v>
      </c>
      <c r="N18" s="5">
        <v>10.08590698109628</v>
      </c>
      <c r="O18" s="5">
        <v>15.15631907146804</v>
      </c>
      <c r="P18" s="6">
        <v>0.7761988662547633</v>
      </c>
      <c r="Q18" s="5">
        <v>30.14383412037613</v>
      </c>
    </row>
    <row r="19" spans="1:17">
      <c r="A19" s="3" t="s">
        <v>385</v>
      </c>
      <c r="B19" s="3" t="s">
        <v>137</v>
      </c>
      <c r="C19" s="3" t="s">
        <v>153</v>
      </c>
      <c r="D19" s="3" t="s">
        <v>12</v>
      </c>
      <c r="E19" s="3" t="s">
        <v>7</v>
      </c>
      <c r="F19" s="7">
        <v>58</v>
      </c>
      <c r="G19" s="7">
        <v>50</v>
      </c>
      <c r="H19" s="7">
        <v>56</v>
      </c>
      <c r="I19" s="7">
        <v>78</v>
      </c>
      <c r="J19" s="7">
        <v>84</v>
      </c>
      <c r="K19" s="7">
        <v>72</v>
      </c>
      <c r="L19" s="7">
        <v>66</v>
      </c>
      <c r="M19" s="5">
        <v>24.16200680930233</v>
      </c>
      <c r="N19" s="5">
        <v>17.17005069594431</v>
      </c>
      <c r="O19" s="5">
        <v>11.81640583157504</v>
      </c>
      <c r="P19" s="6">
        <v>0.9399999999999999</v>
      </c>
      <c r="Q19" s="5">
        <v>5.303030303030309</v>
      </c>
    </row>
    <row r="20" spans="1:17">
      <c r="A20" s="3" t="s">
        <v>386</v>
      </c>
      <c r="B20" s="3" t="s">
        <v>137</v>
      </c>
      <c r="C20" s="3" t="s">
        <v>157</v>
      </c>
      <c r="D20" s="3" t="s">
        <v>13</v>
      </c>
      <c r="E20" s="3" t="s">
        <v>5</v>
      </c>
      <c r="F20" s="7">
        <v>56</v>
      </c>
      <c r="G20" s="7">
        <v>52</v>
      </c>
      <c r="H20" s="7">
        <v>48</v>
      </c>
      <c r="I20" s="7">
        <v>54</v>
      </c>
      <c r="J20" s="7">
        <v>58</v>
      </c>
      <c r="K20" s="7">
        <v>46</v>
      </c>
      <c r="L20" s="7">
        <v>48</v>
      </c>
      <c r="M20" s="5">
        <v>16.19977637871665</v>
      </c>
      <c r="N20" s="5">
        <v>12.6835187284237</v>
      </c>
      <c r="O20" s="5">
        <v>5.204061322433563</v>
      </c>
      <c r="P20" s="6">
        <v>0.9399999999999999</v>
      </c>
      <c r="Q20" s="5">
        <v>11.72519083969467</v>
      </c>
    </row>
    <row r="21" spans="1:17">
      <c r="A21" s="3" t="s">
        <v>387</v>
      </c>
      <c r="B21" s="3" t="s">
        <v>162</v>
      </c>
      <c r="C21" s="3" t="s">
        <v>161</v>
      </c>
      <c r="D21" s="3" t="s">
        <v>14</v>
      </c>
      <c r="E21" s="3" t="s">
        <v>7</v>
      </c>
      <c r="F21" s="7">
        <v>60</v>
      </c>
      <c r="G21" s="7">
        <v>48</v>
      </c>
      <c r="H21" s="7">
        <v>58</v>
      </c>
      <c r="I21" s="7">
        <v>80</v>
      </c>
      <c r="J21" s="7">
        <v>86</v>
      </c>
      <c r="K21" s="7">
        <v>74</v>
      </c>
      <c r="L21" s="7">
        <v>66</v>
      </c>
      <c r="M21" s="5">
        <v>7.577650389999999</v>
      </c>
      <c r="N21" s="5">
        <v>5.289574043260194</v>
      </c>
      <c r="O21" s="5">
        <v>0.4395394662087165</v>
      </c>
      <c r="P21" s="6">
        <v>0.9399999999999999</v>
      </c>
      <c r="Q21" s="5">
        <v>8.250000000000005</v>
      </c>
    </row>
    <row r="22" spans="1:17">
      <c r="A22" s="3" t="s">
        <v>388</v>
      </c>
      <c r="B22" s="3" t="s">
        <v>162</v>
      </c>
      <c r="C22" s="3" t="s">
        <v>170</v>
      </c>
      <c r="D22" s="3" t="s">
        <v>15</v>
      </c>
      <c r="E22" s="3" t="s">
        <v>8</v>
      </c>
      <c r="F22" s="7">
        <v>74</v>
      </c>
      <c r="G22" s="7">
        <v>68</v>
      </c>
      <c r="H22" s="7">
        <v>54</v>
      </c>
      <c r="I22" s="7">
        <v>72</v>
      </c>
      <c r="J22" s="7">
        <v>70</v>
      </c>
      <c r="K22" s="7">
        <v>58</v>
      </c>
      <c r="L22" s="7">
        <v>52</v>
      </c>
      <c r="M22" s="5">
        <v>7.445440480330578</v>
      </c>
      <c r="N22" s="5">
        <v>5.335968260354464</v>
      </c>
      <c r="O22" s="5">
        <v>0.5442438327538374</v>
      </c>
      <c r="P22" s="6">
        <v>0.9399999999999999</v>
      </c>
      <c r="Q22" s="5">
        <v>17.26666666666668</v>
      </c>
    </row>
    <row r="23" spans="1:17">
      <c r="A23" s="3" t="s">
        <v>389</v>
      </c>
      <c r="B23" s="3" t="s">
        <v>162</v>
      </c>
      <c r="C23" s="3" t="s">
        <v>175</v>
      </c>
      <c r="D23" s="3" t="s">
        <v>16</v>
      </c>
      <c r="E23" s="3" t="s">
        <v>5</v>
      </c>
      <c r="F23" s="7">
        <v>58</v>
      </c>
      <c r="G23" s="7">
        <v>54</v>
      </c>
      <c r="H23" s="7">
        <v>46</v>
      </c>
      <c r="I23" s="7">
        <v>56</v>
      </c>
      <c r="J23" s="7">
        <v>60</v>
      </c>
      <c r="K23" s="7">
        <v>48</v>
      </c>
      <c r="L23" s="7">
        <v>50</v>
      </c>
      <c r="M23" s="5">
        <v>9.151098025659163</v>
      </c>
      <c r="N23" s="5">
        <v>6.942898918966851</v>
      </c>
      <c r="O23" s="5">
        <v>0.6591474333476552</v>
      </c>
      <c r="P23" s="6">
        <v>0.9399999999999999</v>
      </c>
      <c r="Q23" s="5">
        <v>23.50000000000002</v>
      </c>
    </row>
    <row r="24" spans="1:17">
      <c r="A24" s="3" t="s">
        <v>390</v>
      </c>
      <c r="B24" s="3" t="s">
        <v>162</v>
      </c>
      <c r="C24" s="3" t="s">
        <v>180</v>
      </c>
      <c r="D24" s="3" t="s">
        <v>17</v>
      </c>
      <c r="E24" s="3" t="s">
        <v>7</v>
      </c>
      <c r="F24" s="7">
        <v>60</v>
      </c>
      <c r="G24" s="7">
        <v>48</v>
      </c>
      <c r="H24" s="7">
        <v>58</v>
      </c>
      <c r="I24" s="7">
        <v>80</v>
      </c>
      <c r="J24" s="7">
        <v>86</v>
      </c>
      <c r="K24" s="7">
        <v>74</v>
      </c>
      <c r="L24" s="7">
        <v>66</v>
      </c>
      <c r="M24" s="5">
        <v>7.988869270765472</v>
      </c>
      <c r="N24" s="5">
        <v>5.606445205604812</v>
      </c>
      <c r="O24" s="5">
        <v>0.3101916132839178</v>
      </c>
      <c r="P24" s="6">
        <v>0.9399999999999999</v>
      </c>
      <c r="Q24" s="5">
        <v>8.769230769230777</v>
      </c>
    </row>
    <row r="25" spans="1:17">
      <c r="A25" s="3" t="s">
        <v>391</v>
      </c>
      <c r="B25" s="3" t="s">
        <v>162</v>
      </c>
      <c r="C25" s="3" t="s">
        <v>184</v>
      </c>
      <c r="D25" s="3" t="s">
        <v>18</v>
      </c>
      <c r="E25" s="3" t="s">
        <v>8</v>
      </c>
      <c r="F25" s="7">
        <v>74</v>
      </c>
      <c r="G25" s="7">
        <v>68</v>
      </c>
      <c r="H25" s="7">
        <v>54</v>
      </c>
      <c r="I25" s="7">
        <v>72</v>
      </c>
      <c r="J25" s="7">
        <v>70</v>
      </c>
      <c r="K25" s="7">
        <v>58</v>
      </c>
      <c r="L25" s="7">
        <v>52</v>
      </c>
      <c r="M25" s="5">
        <v>7.619229900955881</v>
      </c>
      <c r="N25" s="5">
        <v>5.451299709251455</v>
      </c>
      <c r="O25" s="5">
        <v>0.3789541975099338</v>
      </c>
      <c r="P25" s="6">
        <v>0.9399999999999999</v>
      </c>
      <c r="Q25" s="5">
        <v>27.00000000000004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H44"/>
  <sheetViews>
    <sheetView workbookViewId="0"/>
  </sheetViews>
  <sheetFormatPr defaultRowHeight="15"/>
  <cols>
    <col min="1" max="8" width="18.7109375" customWidth="1"/>
    <col min="9" max="9" width="65.7109375" customWidth="1"/>
  </cols>
  <sheetData>
    <row r="1" spans="1:8">
      <c r="A1" s="1" t="s">
        <v>392</v>
      </c>
    </row>
    <row r="3" spans="1:8">
      <c r="A3" s="3" t="s">
        <v>393</v>
      </c>
    </row>
    <row r="5" spans="1:8">
      <c r="A5" s="2" t="s">
        <v>394</v>
      </c>
    </row>
    <row r="6" spans="1:8">
      <c r="A6" s="4" t="s">
        <v>247</v>
      </c>
      <c r="B6" s="4" t="s">
        <v>395</v>
      </c>
      <c r="C6" s="4" t="s">
        <v>396</v>
      </c>
      <c r="D6" s="4" t="s">
        <v>397</v>
      </c>
      <c r="E6" s="4" t="s">
        <v>398</v>
      </c>
      <c r="F6" s="4" t="s">
        <v>399</v>
      </c>
      <c r="G6" s="4" t="s">
        <v>400</v>
      </c>
      <c r="H6" s="4" t="s">
        <v>401</v>
      </c>
    </row>
    <row r="7" spans="1:8">
      <c r="A7" s="3" t="s">
        <v>9</v>
      </c>
      <c r="B7" s="5">
        <v>237.957479</v>
      </c>
      <c r="C7" s="5">
        <v>238</v>
      </c>
      <c r="D7" s="5">
        <v>27.625472</v>
      </c>
      <c r="E7" s="5">
        <v>27.625</v>
      </c>
      <c r="F7" s="5">
        <v>39.594436</v>
      </c>
      <c r="G7" s="5">
        <v>39.6</v>
      </c>
      <c r="H7" s="15" t="s">
        <v>402</v>
      </c>
    </row>
    <row r="8" spans="1:8">
      <c r="A8" s="3" t="s">
        <v>10</v>
      </c>
      <c r="B8" s="5">
        <v>519.699534</v>
      </c>
      <c r="C8" s="5">
        <v>519.7</v>
      </c>
      <c r="D8" s="5">
        <v>10.181525</v>
      </c>
      <c r="E8" s="5">
        <v>10.182</v>
      </c>
      <c r="F8" s="5">
        <v>211.902412</v>
      </c>
      <c r="G8" s="5">
        <v>211.9</v>
      </c>
      <c r="H8" s="15" t="s">
        <v>402</v>
      </c>
    </row>
    <row r="9" spans="1:8">
      <c r="A9" s="3" t="s">
        <v>11</v>
      </c>
      <c r="B9" s="5">
        <v>257.88884</v>
      </c>
      <c r="C9" s="5">
        <v>257.9</v>
      </c>
      <c r="D9" s="5">
        <v>13.341106</v>
      </c>
      <c r="E9" s="5">
        <v>13.341</v>
      </c>
      <c r="F9" s="5">
        <v>92.50510199999999</v>
      </c>
      <c r="G9" s="5">
        <v>92.5</v>
      </c>
      <c r="H9" s="15" t="s">
        <v>402</v>
      </c>
    </row>
    <row r="10" spans="1:8">
      <c r="A10" s="3" t="s">
        <v>12</v>
      </c>
      <c r="B10" s="5">
        <v>143.490324</v>
      </c>
      <c r="C10" s="5">
        <v>143.5</v>
      </c>
      <c r="D10" s="5">
        <v>21.621839</v>
      </c>
      <c r="E10" s="5">
        <v>21.622</v>
      </c>
      <c r="F10" s="5">
        <v>31.512878</v>
      </c>
      <c r="G10" s="5">
        <v>31.5</v>
      </c>
      <c r="H10" s="15" t="s">
        <v>402</v>
      </c>
    </row>
    <row r="11" spans="1:8">
      <c r="A11" s="3" t="s">
        <v>13</v>
      </c>
      <c r="B11" s="5">
        <v>135.394787</v>
      </c>
      <c r="C11" s="5">
        <v>135.4</v>
      </c>
      <c r="D11" s="5">
        <v>13.739501</v>
      </c>
      <c r="E11" s="5">
        <v>13.74</v>
      </c>
      <c r="F11" s="5">
        <v>42.893806</v>
      </c>
      <c r="G11" s="5">
        <v>42.9</v>
      </c>
      <c r="H11" s="15" t="s">
        <v>402</v>
      </c>
    </row>
    <row r="14" spans="1:8">
      <c r="A14" s="2" t="s">
        <v>403</v>
      </c>
    </row>
    <row r="15" spans="1:8">
      <c r="A15" s="4" t="s">
        <v>247</v>
      </c>
      <c r="B15" s="4" t="s">
        <v>395</v>
      </c>
      <c r="C15" s="4" t="s">
        <v>396</v>
      </c>
      <c r="D15" s="4" t="s">
        <v>404</v>
      </c>
      <c r="E15" s="4" t="s">
        <v>405</v>
      </c>
      <c r="F15" s="4" t="s">
        <v>406</v>
      </c>
    </row>
    <row r="16" spans="1:8">
      <c r="A16" s="3" t="s">
        <v>14</v>
      </c>
      <c r="B16" s="5">
        <v>103.679</v>
      </c>
      <c r="C16" s="5">
        <v>103.679</v>
      </c>
      <c r="D16" s="5">
        <v>28949.84</v>
      </c>
      <c r="E16" s="5">
        <v>17920.35</v>
      </c>
      <c r="F16" s="3" t="s">
        <v>407</v>
      </c>
    </row>
    <row r="17" spans="1:6">
      <c r="A17" s="3" t="s">
        <v>15</v>
      </c>
      <c r="B17" s="5">
        <v>124.101</v>
      </c>
      <c r="C17" s="5">
        <v>124.101</v>
      </c>
      <c r="D17" s="5">
        <v>40194.37</v>
      </c>
      <c r="E17" s="5">
        <v>19435.85</v>
      </c>
      <c r="F17" s="3" t="s">
        <v>408</v>
      </c>
    </row>
    <row r="18" spans="1:6">
      <c r="A18" s="3" t="s">
        <v>16</v>
      </c>
      <c r="B18" s="5">
        <v>155.518</v>
      </c>
      <c r="C18" s="5">
        <v>155.518</v>
      </c>
      <c r="D18" s="5">
        <v>38222.34</v>
      </c>
      <c r="E18" s="5">
        <v>12757.5</v>
      </c>
      <c r="F18" s="3" t="s">
        <v>409</v>
      </c>
    </row>
    <row r="19" spans="1:6">
      <c r="A19" s="3" t="s">
        <v>17</v>
      </c>
      <c r="B19" s="5">
        <v>66.357</v>
      </c>
      <c r="C19" s="5">
        <v>66.357</v>
      </c>
      <c r="D19" s="5">
        <v>27456.03</v>
      </c>
      <c r="E19" s="5">
        <v>16719.23</v>
      </c>
      <c r="F19" s="3" t="s">
        <v>410</v>
      </c>
    </row>
    <row r="20" spans="1:6">
      <c r="A20" s="3" t="s">
        <v>18</v>
      </c>
      <c r="B20" s="5">
        <v>79.61499999999999</v>
      </c>
      <c r="C20" s="5">
        <v>79.61499999999999</v>
      </c>
      <c r="D20" s="5">
        <v>34116.55</v>
      </c>
      <c r="E20" s="5">
        <v>22398.05</v>
      </c>
      <c r="F20" s="3" t="s">
        <v>411</v>
      </c>
    </row>
    <row r="23" spans="1:6">
      <c r="A23" s="2" t="s">
        <v>412</v>
      </c>
    </row>
    <row r="24" spans="1:6">
      <c r="A24" s="12" t="s">
        <v>413</v>
      </c>
    </row>
    <row r="27" spans="1:6">
      <c r="A27" s="2" t="s">
        <v>414</v>
      </c>
    </row>
    <row r="29" spans="1:6">
      <c r="A29" s="3" t="s">
        <v>415</v>
      </c>
      <c r="B29" s="16" t="s">
        <v>416</v>
      </c>
    </row>
    <row r="30" spans="1:6">
      <c r="A30" s="3" t="s">
        <v>417</v>
      </c>
      <c r="B30" s="16" t="s">
        <v>418</v>
      </c>
    </row>
    <row r="31" spans="1:6">
      <c r="A31" s="3" t="s">
        <v>419</v>
      </c>
      <c r="B31" s="16" t="s">
        <v>420</v>
      </c>
    </row>
    <row r="32" spans="1:6">
      <c r="A32" s="3" t="s">
        <v>421</v>
      </c>
      <c r="B32" s="16" t="s">
        <v>422</v>
      </c>
    </row>
    <row r="33" spans="1:2">
      <c r="A33" s="3" t="s">
        <v>423</v>
      </c>
      <c r="B33" s="16" t="s">
        <v>424</v>
      </c>
    </row>
    <row r="34" spans="1:2">
      <c r="A34" s="3" t="s">
        <v>425</v>
      </c>
      <c r="B34" s="16" t="s">
        <v>426</v>
      </c>
    </row>
    <row r="35" spans="1:2">
      <c r="A35" s="3" t="s">
        <v>427</v>
      </c>
      <c r="B35" s="16" t="s">
        <v>428</v>
      </c>
    </row>
    <row r="36" spans="1:2">
      <c r="A36" s="3" t="s">
        <v>429</v>
      </c>
      <c r="B36" s="16" t="s">
        <v>430</v>
      </c>
    </row>
    <row r="37" spans="1:2">
      <c r="A37" s="3" t="s">
        <v>431</v>
      </c>
      <c r="B37" s="16" t="s">
        <v>432</v>
      </c>
    </row>
    <row r="38" spans="1:2">
      <c r="A38" s="3" t="s">
        <v>433</v>
      </c>
      <c r="B38" s="16" t="s">
        <v>434</v>
      </c>
    </row>
    <row r="39" spans="1:2">
      <c r="A39" s="3" t="s">
        <v>82</v>
      </c>
      <c r="B39" s="16" t="s">
        <v>435</v>
      </c>
    </row>
    <row r="40" spans="1:2">
      <c r="A40" s="3" t="s">
        <v>436</v>
      </c>
      <c r="B40" s="16" t="s">
        <v>437</v>
      </c>
    </row>
    <row r="41" spans="1:2">
      <c r="A41" s="3" t="s">
        <v>438</v>
      </c>
      <c r="B41" s="16" t="s">
        <v>439</v>
      </c>
    </row>
    <row r="42" spans="1:2">
      <c r="A42" s="3" t="s">
        <v>440</v>
      </c>
      <c r="B42" s="16" t="s">
        <v>441</v>
      </c>
    </row>
    <row r="43" spans="1:2">
      <c r="A43" s="3" t="s">
        <v>442</v>
      </c>
      <c r="B43" s="16" t="s">
        <v>443</v>
      </c>
    </row>
    <row r="44" spans="1:2">
      <c r="A44" s="3" t="s">
        <v>444</v>
      </c>
      <c r="B44" s="16" t="s">
        <v>445</v>
      </c>
    </row>
  </sheetData>
  <hyperlinks>
    <hyperlink ref="B29" r:id="rId1"/>
    <hyperlink ref="B30" r:id="rId2"/>
    <hyperlink ref="B31" r:id="rId3"/>
    <hyperlink ref="B32" r:id="rId4"/>
    <hyperlink ref="B33" r:id="rId5"/>
    <hyperlink ref="B34" r:id="rId6"/>
    <hyperlink ref="B35" r:id="rId7"/>
    <hyperlink ref="B36" r:id="rId8"/>
    <hyperlink ref="B37" r:id="rId9"/>
    <hyperlink ref="B38" r:id="rId10"/>
    <hyperlink ref="B39" r:id="rId11"/>
    <hyperlink ref="B40" r:id="rId12"/>
    <hyperlink ref="B41" r:id="rId13"/>
    <hyperlink ref="B42" r:id="rId14"/>
    <hyperlink ref="B43" r:id="rId15"/>
    <hyperlink ref="B44" r:id="rId16"/>
  </hyperlinks>
  <pageMargins left="0.7" right="0.7" top="0.75" bottom="0.75" header="0.3" footer="0.3"/>
  <legacyDrawing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57</vt:i4>
      </vt:variant>
    </vt:vector>
  </HeadingPairs>
  <TitlesOfParts>
    <vt:vector size="66" baseType="lpstr">
      <vt:lpstr>Lists</vt:lpstr>
      <vt:lpstr>README</vt:lpstr>
      <vt:lpstr>Levers</vt:lpstr>
      <vt:lpstr>State_Data</vt:lpstr>
      <vt:lpstr>Presets</vt:lpstr>
      <vt:lpstr>Inputs</vt:lpstr>
      <vt:lpstr>Model</vt:lpstr>
      <vt:lpstr>Checks</vt:lpstr>
      <vt:lpstr>Source_Audit</vt:lpstr>
      <vt:lpstr>AnnualUnitsRange</vt:lpstr>
      <vt:lpstr>BauStressDistRange</vt:lpstr>
      <vt:lpstr>BauStressGenRange</vt:lpstr>
      <vt:lpstr>BauStressTxRange</vt:lpstr>
      <vt:lpstr>BlendNoteRange</vt:lpstr>
      <vt:lpstr>CleanShare2025Range</vt:lpstr>
      <vt:lpstr>CleanShare2035Range</vt:lpstr>
      <vt:lpstr>Cost2025DistRange</vt:lpstr>
      <vt:lpstr>Cost2025GenRange</vt:lpstr>
      <vt:lpstr>Cost2025TotalRange</vt:lpstr>
      <vt:lpstr>Cost2025TxRange</vt:lpstr>
      <vt:lpstr>Cost2030DistRange</vt:lpstr>
      <vt:lpstr>Cost2030GenRange</vt:lpstr>
      <vt:lpstr>Cost2030TotalRange</vt:lpstr>
      <vt:lpstr>Cost2030TxRange</vt:lpstr>
      <vt:lpstr>Cost2035DistRange</vt:lpstr>
      <vt:lpstr>Cost2035GenRange</vt:lpstr>
      <vt:lpstr>Cost2035TotalRange</vt:lpstr>
      <vt:lpstr>Cost2035TxRange</vt:lpstr>
      <vt:lpstr>CountryList</vt:lpstr>
      <vt:lpstr>Emissions2035Range</vt:lpstr>
      <vt:lpstr>EmissionsBaseRange</vt:lpstr>
      <vt:lpstr>HeadlineRange</vt:lpstr>
      <vt:lpstr>LeverCategoryRange</vt:lpstr>
      <vt:lpstr>LeverKeyRange</vt:lpstr>
      <vt:lpstr>LeverLabelRange</vt:lpstr>
      <vt:lpstr>LeverSummaryRange</vt:lpstr>
      <vt:lpstr>Model_AnnualSavings</vt:lpstr>
      <vt:lpstr>Model_Baseline2030</vt:lpstr>
      <vt:lpstr>Model_Baseline2035</vt:lpstr>
      <vt:lpstr>Model_StartRate</vt:lpstr>
      <vt:lpstr>Model_Strategy2030</vt:lpstr>
      <vt:lpstr>Model_Strategy2035</vt:lpstr>
      <vt:lpstr>Model_StrategyCleanShare</vt:lpstr>
      <vt:lpstr>Model_StrategyEmissions</vt:lpstr>
      <vt:lpstr>ModeList</vt:lpstr>
      <vt:lpstr>PresetList_india</vt:lpstr>
      <vt:lpstr>PresetList_us</vt:lpstr>
      <vt:lpstr>PresetLookupKeyRange</vt:lpstr>
      <vt:lpstr>PresetValueRange</vt:lpstr>
      <vt:lpstr>PrimarySourcesRange</vt:lpstr>
      <vt:lpstr>RateUnitsRange</vt:lpstr>
      <vt:lpstr>ResidentialCustomersRange</vt:lpstr>
      <vt:lpstr>Sales2025Range</vt:lpstr>
      <vt:lpstr>Sales2030Range</vt:lpstr>
      <vt:lpstr>Sales2035Range</vt:lpstr>
      <vt:lpstr>SalesAnchorYearRange</vt:lpstr>
      <vt:lpstr>SalesStress2030Range</vt:lpstr>
      <vt:lpstr>SalesStress2035Range</vt:lpstr>
      <vt:lpstr>StateAbbrRange</vt:lpstr>
      <vt:lpstr>StateCountryKeyRange</vt:lpstr>
      <vt:lpstr>StateCountryLabelRange</vt:lpstr>
      <vt:lpstr>StateDefaultPresetRange</vt:lpstr>
      <vt:lpstr>StateKeyRange</vt:lpstr>
      <vt:lpstr>StateList_india</vt:lpstr>
      <vt:lpstr>StateList_us</vt:lpstr>
      <vt:lpstr>StateNameRange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2026-05-06T22:22:10Z</dcterms:created>
  <dcterms:modified xsi:type="dcterms:W3CDTF">2026-05-06T22:22:10Z</dcterms:modified>
</cp:coreProperties>
</file>